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Google Drive\2 - RALLYES\SLALOM\SLALOM 24\JEREZ DEL MARQUESADO\"/>
    </mc:Choice>
  </mc:AlternateContent>
  <bookViews>
    <workbookView xWindow="0" yWindow="0" windowWidth="20490" windowHeight="7650" tabRatio="756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GRUPAPF">' Datos de Organizadores '!$R$32</definedName>
    <definedName name="Ambos">' Datos de Organizadores '!$O$28</definedName>
    <definedName name="_xlnm.Print_Area" localSheetId="0">' Boletín de Inscripción '!$B$11:$AH$72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'!$C$53</definedName>
    <definedName name="Cierre">' Derechos de Inscripción '!#REF!</definedName>
    <definedName name="CILINDRADA">' Boletín de Inscripción '!$C$51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'!#REF!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'!#REF!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F">' Boletín de Inscripción '!$AA$51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PUNTUA">"Casilla 234"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62913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6" l="1"/>
  <c r="L8" i="3"/>
  <c r="L9" i="3"/>
  <c r="L10" i="3"/>
  <c r="L11" i="3"/>
  <c r="L13" i="3"/>
  <c r="L14" i="3"/>
  <c r="L15" i="3"/>
  <c r="L3" i="3"/>
  <c r="L7" i="3"/>
  <c r="L5" i="3"/>
  <c r="L4" i="3"/>
  <c r="L22" i="3"/>
  <c r="L23" i="3"/>
  <c r="L24" i="3"/>
  <c r="L25" i="3"/>
  <c r="L6" i="3"/>
  <c r="L21" i="3"/>
  <c r="AG40" i="1"/>
  <c r="R31" i="3" l="1"/>
  <c r="R32" i="3" s="1"/>
  <c r="J31" i="2"/>
  <c r="J29" i="2"/>
  <c r="C60" i="1" s="1"/>
  <c r="H25" i="2"/>
  <c r="D25" i="2"/>
  <c r="D24" i="2"/>
  <c r="F23" i="2"/>
  <c r="D23" i="2"/>
  <c r="D22" i="2"/>
  <c r="D21" i="2"/>
  <c r="F25" i="2" l="1"/>
  <c r="B18" i="2"/>
  <c r="D16" i="2"/>
  <c r="Q31" i="3" l="1"/>
  <c r="Q51" i="1" s="1"/>
  <c r="U3" i="6" l="1"/>
  <c r="E3" i="6"/>
  <c r="T3" i="6"/>
  <c r="P3" i="6"/>
  <c r="N3" i="6"/>
  <c r="M3" i="6"/>
  <c r="L3" i="6"/>
  <c r="K3" i="6"/>
  <c r="I3" i="6"/>
  <c r="H3" i="6"/>
  <c r="F3" i="6"/>
  <c r="D3" i="6"/>
  <c r="C3" i="6"/>
  <c r="B3" i="6"/>
  <c r="C53" i="1"/>
  <c r="C18" i="1"/>
  <c r="C28" i="1"/>
  <c r="C24" i="1"/>
  <c r="C22" i="1"/>
  <c r="C21" i="1"/>
  <c r="Z18" i="1"/>
  <c r="M29" i="2"/>
  <c r="G60" i="1" s="1"/>
  <c r="P3" i="3"/>
  <c r="T4" i="3"/>
  <c r="B8" i="1" s="1"/>
  <c r="R5" i="3"/>
  <c r="T5" i="3"/>
  <c r="B9" i="1" s="1"/>
  <c r="R7" i="3"/>
  <c r="R8" i="3"/>
  <c r="R9" i="3"/>
  <c r="R10" i="3"/>
  <c r="R11" i="3"/>
  <c r="R13" i="3"/>
  <c r="R14" i="3"/>
  <c r="R15" i="3"/>
  <c r="R17" i="3"/>
  <c r="A2" i="5"/>
  <c r="B2" i="5"/>
  <c r="C2" i="5" s="1"/>
  <c r="D2" i="5"/>
  <c r="G2" i="5" s="1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BA2" i="5"/>
  <c r="BE2" i="5"/>
  <c r="BF2" i="5"/>
  <c r="BG2" i="5"/>
  <c r="BH2" i="5"/>
  <c r="BI2" i="5"/>
  <c r="BJ2" i="5"/>
  <c r="BK2" i="5"/>
  <c r="BL2" i="5"/>
  <c r="BN2" i="5"/>
  <c r="BO2" i="5"/>
  <c r="BP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G12" i="1"/>
  <c r="R3" i="6" l="1"/>
  <c r="V2" i="5"/>
  <c r="AK2" i="5"/>
  <c r="P35" i="3"/>
  <c r="P37" i="3" s="1"/>
  <c r="P33" i="3"/>
  <c r="O3" i="6"/>
  <c r="AA47" i="1"/>
  <c r="AZ2" i="5"/>
  <c r="C26" i="1"/>
  <c r="Q37" i="3" l="1"/>
  <c r="Q47" i="1" s="1"/>
  <c r="Q48" i="1"/>
  <c r="BD2" i="5" s="1"/>
  <c r="Q3" i="6" l="1"/>
  <c r="P39" i="3"/>
  <c r="W51" i="1" l="1"/>
  <c r="BB2" i="5" s="1"/>
  <c r="BC2" i="5" l="1"/>
  <c r="S3" i="6"/>
</calcChain>
</file>

<file path=xl/sharedStrings.xml><?xml version="1.0" encoding="utf-8"?>
<sst xmlns="http://schemas.openxmlformats.org/spreadsheetml/2006/main" count="486" uniqueCount="374">
  <si>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</si>
  <si>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</si>
  <si>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</si>
  <si>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</si>
  <si>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</si>
  <si>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</si>
  <si>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</si>
  <si>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</si>
  <si>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Teléfono:</t>
  </si>
  <si>
    <t>FAX:</t>
  </si>
  <si>
    <t>e_mail:</t>
  </si>
  <si>
    <t>DATOS del VEHÍCULO</t>
  </si>
  <si>
    <t>Grupo</t>
  </si>
  <si>
    <t>Clase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</si>
  <si>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</si>
  <si>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</si>
  <si>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</si>
  <si>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</si>
  <si>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</si>
  <si>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</si>
  <si>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</si>
  <si>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</si>
  <si>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</si>
  <si>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</si>
  <si>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</si>
  <si>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</si>
  <si>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</si>
  <si>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</si>
  <si>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</si>
  <si>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</si>
  <si>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</si>
  <si>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</si>
  <si>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</si>
  <si>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</si>
  <si>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</si>
  <si>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</si>
  <si>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</si>
  <si>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</si>
  <si>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</si>
  <si>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</si>
  <si>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</si>
  <si>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</si>
  <si>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</si>
  <si>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</si>
  <si>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</si>
  <si>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</si>
  <si>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</si>
  <si>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</si>
  <si>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</si>
  <si>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</si>
  <si>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</si>
  <si>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</si>
  <si>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</si>
  <si>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</si>
  <si>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</si>
  <si>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</si>
  <si>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</si>
  <si>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</si>
  <si>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</si>
  <si>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</si>
  <si>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</si>
  <si>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</si>
  <si>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</si>
  <si>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</si>
  <si>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</si>
  <si>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</si>
  <si>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</si>
  <si>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</si>
  <si>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</si>
  <si>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</si>
  <si>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</si>
  <si>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</si>
  <si>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</si>
  <si>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</si>
  <si>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</si>
  <si>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</si>
  <si>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</si>
  <si>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</si>
  <si>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</si>
  <si>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</si>
  <si>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</si>
  <si>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</si>
  <si>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</si>
  <si>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</si>
  <si>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</si>
  <si>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</si>
  <si>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</si>
  <si>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</si>
  <si>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</si>
  <si>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</si>
  <si>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</si>
  <si>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</si>
  <si>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</si>
  <si>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</si>
  <si>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</si>
  <si>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</si>
  <si>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</si>
  <si>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</si>
  <si>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</si>
  <si>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</si>
  <si>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</si>
  <si>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</si>
  <si>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</si>
  <si>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</si>
  <si>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</si>
  <si>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</si>
  <si>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</si>
  <si>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</si>
  <si>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</si>
  <si>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</si>
  <si>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</si>
  <si>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</si>
  <si>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</si>
  <si>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</si>
  <si>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</si>
  <si>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</si>
  <si>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</si>
  <si>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</si>
  <si>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</si>
  <si>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</si>
  <si>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</si>
  <si>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</si>
  <si>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</si>
  <si>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</si>
  <si>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</si>
  <si>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</si>
  <si>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</si>
  <si>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</si>
  <si>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</si>
  <si>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</si>
  <si>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</si>
  <si>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</si>
  <si>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</si>
  <si>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</si>
  <si>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</si>
  <si>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</si>
  <si>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</si>
  <si>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</si>
  <si>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</si>
  <si>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</si>
  <si>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</si>
  <si>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</si>
  <si>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</si>
  <si>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</si>
  <si>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</si>
  <si>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</si>
  <si>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</si>
  <si>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</si>
  <si>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</si>
  <si>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</si>
  <si>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</si>
  <si>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</si>
  <si>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</si>
  <si>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</si>
  <si>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</si>
  <si>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</si>
  <si>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</si>
  <si>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</si>
  <si>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</si>
  <si>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</si>
  <si>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</si>
  <si>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</si>
  <si>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</si>
  <si>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</si>
  <si>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</si>
  <si>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</si>
  <si>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</si>
  <si>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</si>
  <si>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</si>
  <si>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</si>
  <si>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</si>
  <si>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</si>
  <si>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</si>
  <si>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</si>
  <si>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</si>
  <si>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</si>
  <si>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>PILOTO</t>
  </si>
  <si>
    <t>NIF:</t>
  </si>
  <si>
    <t>Fecha de la prueba</t>
  </si>
  <si>
    <t>Celebracion</t>
  </si>
  <si>
    <t>1º Cierre</t>
  </si>
  <si>
    <t>2º Cierre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</si>
  <si>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</si>
  <si>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</si>
  <si>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</si>
  <si>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</si>
  <si>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</si>
  <si>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</si>
  <si>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</si>
  <si>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</si>
  <si>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</si>
  <si>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</si>
  <si>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</si>
  <si>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</si>
  <si>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Firma del Consursante o representante</t>
  </si>
  <si>
    <t>Ficha Homologación</t>
  </si>
  <si>
    <t>Año</t>
  </si>
  <si>
    <t>N</t>
  </si>
  <si>
    <t>A</t>
  </si>
  <si>
    <t>Seleccionar de la lista desplegable</t>
  </si>
  <si>
    <t>CAMPEONATO de ANDALUCIA</t>
  </si>
  <si>
    <t>Cilindrada Corregida</t>
  </si>
  <si>
    <t>TURBO</t>
  </si>
  <si>
    <t>IV</t>
  </si>
  <si>
    <t>V</t>
  </si>
  <si>
    <t>VI</t>
  </si>
  <si>
    <t>CLASE</t>
  </si>
  <si>
    <t>DERECHOS DE INSCRIPCIÓN</t>
  </si>
  <si>
    <t>Trofeo1(hankok)</t>
  </si>
  <si>
    <t>Trofeo2 (Racc)</t>
  </si>
  <si>
    <t>0081</t>
  </si>
  <si>
    <t>0001183321</t>
  </si>
  <si>
    <t>61</t>
  </si>
  <si>
    <t>7418</t>
  </si>
  <si>
    <t>CIERRE INSCRIPCION</t>
  </si>
  <si>
    <t>Procedencia F-2000</t>
  </si>
  <si>
    <t>FAX</t>
  </si>
  <si>
    <t>Agrupacion</t>
  </si>
  <si>
    <t>F2</t>
  </si>
  <si>
    <t>B</t>
  </si>
  <si>
    <t>HISTORICOS</t>
  </si>
  <si>
    <t>Tipo de vehículo (Seleccionar de la Lista)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</si>
  <si>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</si>
  <si>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</si>
  <si>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</si>
  <si>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</si>
  <si>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</si>
  <si>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</si>
  <si>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</si>
  <si>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</si>
  <si>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</si>
  <si>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 xml:space="preserve">Seleccionar Grupo </t>
  </si>
  <si>
    <t>S</t>
  </si>
  <si>
    <t>¡ MUY IMPORTANTE! NO OLVIDE ACTIVAR LOS MACROS-ACTIVEX DE ESTA HOJA !</t>
  </si>
  <si>
    <t>Division Agrup II</t>
  </si>
  <si>
    <t>Division I Y III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</si>
  <si>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</si>
  <si>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</si>
  <si>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</si>
  <si>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Fecha Nacimiento: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</si>
  <si>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</si>
  <si>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</si>
  <si>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</si>
  <si>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</si>
  <si>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</si>
  <si>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</si>
  <si>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</si>
  <si>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LICENCIA PILOTO</t>
  </si>
  <si>
    <t>TELEFONO MÓVIL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</si>
  <si>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</si>
  <si>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</si>
  <si>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</si>
  <si>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</si>
  <si>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</si>
  <si>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</si>
  <si>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</si>
  <si>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</si>
  <si>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OBSERVACIONES</t>
  </si>
  <si>
    <t>C.C. CORREGIDA</t>
  </si>
  <si>
    <t>EMAIL</t>
  </si>
  <si>
    <t>+3500</t>
  </si>
  <si>
    <t>MALAGA</t>
  </si>
  <si>
    <t>CILINDRADA</t>
  </si>
  <si>
    <t>JUNIOR / SENIOR</t>
  </si>
  <si>
    <t>PROVINCIA</t>
  </si>
  <si>
    <t>Campeonato de Andalucia  MONTAÑA 2020</t>
  </si>
  <si>
    <t xml:space="preserve"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														
														</t>
  </si>
  <si>
    <t xml:space="preserve">P.F. </t>
  </si>
  <si>
    <t>CLASE RFEDA</t>
  </si>
  <si>
    <t>AGRUPACION FAA</t>
  </si>
  <si>
    <t xml:space="preserve">15 a 39 </t>
  </si>
  <si>
    <t>AGRUPACION I</t>
  </si>
  <si>
    <t>40 a 59</t>
  </si>
  <si>
    <t>6a</t>
  </si>
  <si>
    <t>AGRUPACION II</t>
  </si>
  <si>
    <t>60 a 79</t>
  </si>
  <si>
    <t>6b</t>
  </si>
  <si>
    <t>AGRUPACION III</t>
  </si>
  <si>
    <t>80 a 99</t>
  </si>
  <si>
    <t>7a</t>
  </si>
  <si>
    <t>AGRUPACION IV</t>
  </si>
  <si>
    <t>100 a 119</t>
  </si>
  <si>
    <t>7b</t>
  </si>
  <si>
    <t>AGRUPACION V</t>
  </si>
  <si>
    <t>120 a 139</t>
  </si>
  <si>
    <t>8a</t>
  </si>
  <si>
    <t>AGRUPACION VI</t>
  </si>
  <si>
    <t>140 a 159</t>
  </si>
  <si>
    <t>8b</t>
  </si>
  <si>
    <t>AGRUPACION VII</t>
  </si>
  <si>
    <t>160 a 174</t>
  </si>
  <si>
    <t>9a</t>
  </si>
  <si>
    <t>AGRUPACION VIII</t>
  </si>
  <si>
    <t>175 a 199</t>
  </si>
  <si>
    <t>9b</t>
  </si>
  <si>
    <t>AGRUPACION IX</t>
  </si>
  <si>
    <t>&gt; 199</t>
  </si>
  <si>
    <t>9c</t>
  </si>
  <si>
    <t>AGRUPACION X</t>
  </si>
  <si>
    <t>PF</t>
  </si>
  <si>
    <t>PUNTUA</t>
  </si>
  <si>
    <t xml:space="preserve">FEMINA </t>
  </si>
  <si>
    <t>CATEGORÍA I</t>
  </si>
  <si>
    <t>CATEGORÍA II</t>
  </si>
  <si>
    <t>CLASE 5</t>
  </si>
  <si>
    <t xml:space="preserve">VI </t>
  </si>
  <si>
    <t>CAMARAS ON BOARD</t>
  </si>
  <si>
    <t>Nº PASAPORTE TÉCNICO</t>
  </si>
  <si>
    <t>CD. RACE EVENTS 103 OCTANOS</t>
  </si>
  <si>
    <t>C/ LEDA 8</t>
  </si>
  <si>
    <t>info@103octanos.com</t>
  </si>
  <si>
    <t>CLASE I - &lt; 1.600 CC</t>
  </si>
  <si>
    <t>CL-I</t>
  </si>
  <si>
    <t>CLASE I</t>
  </si>
  <si>
    <t>CLASE II - &gt; 1.600 CC</t>
  </si>
  <si>
    <t>CL-II</t>
  </si>
  <si>
    <t>CLASE II</t>
  </si>
  <si>
    <t>SLALOM DE CONIL</t>
  </si>
  <si>
    <t>SLALOM DE CAMPILLOS</t>
  </si>
  <si>
    <t>SLALOM DE ARCOS</t>
  </si>
  <si>
    <t>SLALOM DE SAN FERNANDO</t>
  </si>
  <si>
    <t>SLALOM DE LA RAMBLA</t>
  </si>
  <si>
    <t>SLALOM DE CASABERMEJA</t>
  </si>
  <si>
    <t>SLALOM DE PURCHENA</t>
  </si>
  <si>
    <t>SLALOM DE JEREZ</t>
  </si>
  <si>
    <t>ESC. SUR</t>
  </si>
  <si>
    <t>APARTADO DE CORREOS 242</t>
  </si>
  <si>
    <t>11100</t>
  </si>
  <si>
    <t>SAN FERNANDO</t>
  </si>
  <si>
    <t>CADIZ</t>
  </si>
  <si>
    <t>956 - 590.598</t>
  </si>
  <si>
    <t>inscripcion@escuderiasur.net</t>
  </si>
  <si>
    <t>AC BALCON ALMANZORA</t>
  </si>
  <si>
    <t>Avda. de Circunvalación nº 12</t>
  </si>
  <si>
    <t>04877</t>
  </si>
  <si>
    <t>SOMONTIN</t>
  </si>
  <si>
    <t>ALMERIA</t>
  </si>
  <si>
    <t>acbdalmanzora@hotmail.com</t>
  </si>
  <si>
    <t>AUTOMOVIL CLUB DE JEREZ</t>
  </si>
  <si>
    <t>AVD. TOMAS GARCIA FIGUERAS BLQ. 4 EDF. SANTA TERESA, LOCAL 2</t>
  </si>
  <si>
    <t>11407</t>
  </si>
  <si>
    <t>JEREZ</t>
  </si>
  <si>
    <t>automovilclubdejerez@gmail.com</t>
  </si>
  <si>
    <t>SLALOM DE POSADAS</t>
  </si>
  <si>
    <t>ESCUDERIA MALENA TRATA DE ARRANCARLO</t>
  </si>
  <si>
    <t>AVD. LA MURALLA Nº 13 B13</t>
  </si>
  <si>
    <t>POSADAS</t>
  </si>
  <si>
    <t>CÓRDOBA</t>
  </si>
  <si>
    <t>622291507 / 647757754</t>
  </si>
  <si>
    <t>escuderiamalena_ta@outlook.es</t>
  </si>
  <si>
    <t>SLALOM BRENES</t>
  </si>
  <si>
    <t>SLALOM DE DÓLAR</t>
  </si>
  <si>
    <t>SLALOM DE RIO TINTO</t>
  </si>
  <si>
    <t>SLALOM DE ATARFE</t>
  </si>
  <si>
    <t>SLALOM SAN JUAN DE LOS TERREROS</t>
  </si>
  <si>
    <t>A.C. GRANADA 2001</t>
  </si>
  <si>
    <t>ANTONIO HUERTAS REMIGIO 13</t>
  </si>
  <si>
    <t>MARACENA</t>
  </si>
  <si>
    <t>GRANADA</t>
  </si>
  <si>
    <t>inscripciones@faa.net</t>
  </si>
  <si>
    <t>SLALOM DE POZOBLANCO</t>
  </si>
  <si>
    <t>SLALOM 2024</t>
  </si>
  <si>
    <t>DERECHOS de INSCRIPCIÓN</t>
  </si>
  <si>
    <t>Hasta</t>
  </si>
  <si>
    <t>Despues del cierre</t>
  </si>
  <si>
    <r>
      <t>Nº CUENTA BANCARIA FAA (CAIXA)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</si>
  <si>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PUBLICIDAD</t>
  </si>
  <si>
    <t>2100</t>
  </si>
  <si>
    <t>0200155516</t>
  </si>
  <si>
    <t>C/ GARCIA LORCA 41 2B</t>
  </si>
  <si>
    <t>04867</t>
  </si>
  <si>
    <t>MACAEL</t>
  </si>
  <si>
    <t>SLALOM JEREZ DEL MARQUESADO</t>
  </si>
  <si>
    <t>MC BALCON ALMANZORA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</si>
</sst>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dd\-mm\-yy;@"/>
    <numFmt numFmtId="170" formatCode="\ \ 0\ \c\c"/>
    <numFmt numFmtId="171" formatCode="@_#_@"/>
    <numFmt numFmtId="172" formatCode="h:mm;@"/>
    <numFmt numFmtId="173" formatCode="_-* #,##0.00\ [$€]_-;\-* #,##0.00\ [$€]_-;_-* &quot;-&quot;??\ [$€]_-;_-@_-"/>
    <numFmt numFmtId="174" formatCode="#,##0\ &quot;€&quot;"/>
    <numFmt numFmtId="175" formatCode="0\ &quot;€&quot;"/>
    <numFmt numFmtId="176" formatCode="dd\-mm\-yy"/>
  </numFmts>
  <fonts count="78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6"/>
      <color indexed="12"/>
      <name val="Tahoma"/>
      <family val="2"/>
    </font>
    <font>
      <b/>
      <sz val="12"/>
      <color indexed="9"/>
      <name val="Tahoma"/>
      <family val="2"/>
    </font>
    <font>
      <b/>
      <sz val="8"/>
      <color indexed="48"/>
      <name val="Tahoma"/>
      <family val="2"/>
    </font>
    <font>
      <sz val="9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20"/>
      <name val="Tahoma"/>
      <family val="2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indexed="63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b/>
      <sz val="18"/>
      <name val="Tahoma"/>
      <family val="2"/>
    </font>
    <font>
      <b/>
      <sz val="18"/>
      <color indexed="10"/>
      <name val="Tahoma"/>
      <family val="2"/>
    </font>
    <font>
      <b/>
      <sz val="14"/>
      <color indexed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3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528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" fillId="2" borderId="15" xfId="0" applyFont="1" applyFill="1" applyBorder="1" applyAlignment="1">
      <alignment vertical="center"/>
    </xf>
    <xf numFmtId="0" fontId="14" fillId="3" borderId="0" xfId="0" applyFont="1" applyFill="1" applyProtection="1"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>
      <alignment horizontal="center" vertical="center"/>
    </xf>
    <xf numFmtId="165" fontId="22" fillId="4" borderId="16" xfId="0" applyNumberFormat="1" applyFont="1" applyFill="1" applyBorder="1" applyAlignment="1">
      <alignment vertical="center"/>
    </xf>
    <xf numFmtId="165" fontId="21" fillId="4" borderId="16" xfId="0" applyNumberFormat="1" applyFont="1" applyFill="1" applyBorder="1" applyAlignment="1">
      <alignment vertical="center"/>
    </xf>
    <xf numFmtId="165" fontId="26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19" fillId="5" borderId="0" xfId="0" applyFont="1" applyFill="1" applyAlignment="1" applyProtection="1">
      <alignment vertical="center"/>
      <protection hidden="1"/>
    </xf>
    <xf numFmtId="0" fontId="28" fillId="5" borderId="0" xfId="0" applyFont="1" applyFill="1" applyAlignment="1" applyProtection="1">
      <alignment horizontal="right" vertical="center"/>
      <protection hidden="1"/>
    </xf>
    <xf numFmtId="0" fontId="28" fillId="5" borderId="0" xfId="0" applyFont="1" applyFill="1" applyAlignment="1" applyProtection="1">
      <alignment vertical="center"/>
      <protection hidden="1"/>
    </xf>
    <xf numFmtId="0" fontId="27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19" fillId="6" borderId="5" xfId="0" applyFont="1" applyFill="1" applyBorder="1" applyAlignment="1" applyProtection="1">
      <alignment vertical="center"/>
      <protection hidden="1"/>
    </xf>
    <xf numFmtId="0" fontId="20" fillId="0" borderId="0" xfId="0" applyFont="1"/>
    <xf numFmtId="49" fontId="33" fillId="0" borderId="19" xfId="0" applyNumberFormat="1" applyFont="1" applyBorder="1" applyAlignment="1" applyProtection="1">
      <alignment horizontal="center" vertical="center"/>
      <protection locked="0"/>
    </xf>
    <xf numFmtId="49" fontId="33" fillId="0" borderId="20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15" fillId="0" borderId="22" xfId="0" applyFont="1" applyBorder="1" applyAlignment="1" applyProtection="1">
      <alignment vertical="center"/>
      <protection hidden="1"/>
    </xf>
    <xf numFmtId="49" fontId="31" fillId="0" borderId="0" xfId="0" applyNumberFormat="1" applyFont="1"/>
    <xf numFmtId="0" fontId="31" fillId="0" borderId="0" xfId="0" applyFont="1"/>
    <xf numFmtId="0" fontId="31" fillId="0" borderId="0" xfId="0" quotePrefix="1" applyFont="1"/>
    <xf numFmtId="0" fontId="45" fillId="0" borderId="0" xfId="0" applyFont="1"/>
    <xf numFmtId="169" fontId="31" fillId="0" borderId="0" xfId="0" applyNumberFormat="1" applyFont="1"/>
    <xf numFmtId="172" fontId="31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44" fillId="0" borderId="7" xfId="0" applyNumberFormat="1" applyFont="1" applyBorder="1" applyAlignment="1" applyProtection="1">
      <alignment vertical="center"/>
      <protection hidden="1"/>
    </xf>
    <xf numFmtId="0" fontId="50" fillId="3" borderId="0" xfId="0" applyFont="1" applyFill="1"/>
    <xf numFmtId="0" fontId="51" fillId="0" borderId="0" xfId="0" applyFont="1" applyAlignment="1" applyProtection="1">
      <alignment vertical="center" wrapText="1"/>
      <protection hidden="1"/>
    </xf>
    <xf numFmtId="0" fontId="51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13" fillId="13" borderId="31" xfId="0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55" fillId="0" borderId="16" xfId="0" applyFont="1" applyBorder="1" applyAlignment="1">
      <alignment horizontal="center" vertical="center" wrapText="1"/>
    </xf>
    <xf numFmtId="1" fontId="55" fillId="0" borderId="16" xfId="0" applyNumberFormat="1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 wrapText="1"/>
    </xf>
    <xf numFmtId="0" fontId="55" fillId="0" borderId="0" xfId="0" applyFont="1" applyAlignment="1">
      <alignment horizontal="center" vertical="center" wrapText="1"/>
    </xf>
    <xf numFmtId="14" fontId="0" fillId="0" borderId="0" xfId="0" applyNumberFormat="1"/>
    <xf numFmtId="0" fontId="49" fillId="0" borderId="27" xfId="0" applyFont="1" applyBorder="1" applyAlignment="1" applyProtection="1">
      <alignment vertical="center" wrapText="1"/>
      <protection hidden="1"/>
    </xf>
    <xf numFmtId="0" fontId="49" fillId="0" borderId="30" xfId="0" applyFont="1" applyBorder="1" applyAlignment="1" applyProtection="1">
      <alignment vertical="center" wrapText="1"/>
      <protection hidden="1"/>
    </xf>
    <xf numFmtId="0" fontId="49" fillId="0" borderId="43" xfId="0" applyFont="1" applyBorder="1" applyAlignment="1" applyProtection="1">
      <alignment vertical="center" wrapText="1"/>
      <protection hidden="1"/>
    </xf>
    <xf numFmtId="0" fontId="55" fillId="0" borderId="79" xfId="0" applyFont="1" applyBorder="1" applyAlignment="1">
      <alignment horizontal="left" vertical="center" wrapText="1"/>
    </xf>
    <xf numFmtId="0" fontId="60" fillId="0" borderId="42" xfId="0" applyFont="1" applyBorder="1" applyAlignment="1" applyProtection="1">
      <alignment vertical="center" wrapText="1"/>
      <protection hidden="1"/>
    </xf>
    <xf numFmtId="0" fontId="60" fillId="0" borderId="0" xfId="0" applyFont="1" applyAlignment="1" applyProtection="1">
      <alignment vertical="center" wrapText="1"/>
      <protection hidden="1"/>
    </xf>
    <xf numFmtId="0" fontId="60" fillId="0" borderId="29" xfId="0" applyFont="1" applyBorder="1" applyAlignment="1" applyProtection="1">
      <alignment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4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34" fillId="0" borderId="21" xfId="0" applyFont="1" applyBorder="1" applyAlignment="1" applyProtection="1">
      <alignment vertical="center"/>
      <protection hidden="1"/>
    </xf>
    <xf numFmtId="0" fontId="34" fillId="0" borderId="15" xfId="0" applyFont="1" applyBorder="1" applyAlignment="1" applyProtection="1">
      <alignment vertical="center"/>
      <protection hidden="1"/>
    </xf>
    <xf numFmtId="0" fontId="34" fillId="0" borderId="17" xfId="0" applyFont="1" applyBorder="1" applyAlignment="1" applyProtection="1">
      <alignment vertical="center"/>
      <protection hidden="1"/>
    </xf>
    <xf numFmtId="0" fontId="62" fillId="0" borderId="0" xfId="0" applyFont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66" fillId="0" borderId="0" xfId="2" applyFont="1" applyAlignment="1" applyProtection="1">
      <alignment horizontal="left" vertical="center"/>
    </xf>
    <xf numFmtId="0" fontId="64" fillId="4" borderId="25" xfId="0" applyFont="1" applyFill="1" applyBorder="1" applyAlignment="1">
      <alignment horizontal="left" vertical="center"/>
    </xf>
    <xf numFmtId="4" fontId="63" fillId="0" borderId="0" xfId="0" applyNumberFormat="1" applyFont="1" applyAlignment="1" applyProtection="1">
      <alignment horizontal="left" vertical="center"/>
      <protection locked="0"/>
    </xf>
    <xf numFmtId="174" fontId="63" fillId="0" borderId="0" xfId="0" applyNumberFormat="1" applyFont="1" applyAlignment="1" applyProtection="1">
      <alignment horizontal="left" vertical="center"/>
      <protection locked="0"/>
    </xf>
    <xf numFmtId="0" fontId="63" fillId="0" borderId="0" xfId="0" quotePrefix="1" applyFont="1" applyAlignment="1" applyProtection="1">
      <alignment horizontal="left" vertical="center"/>
      <protection locked="0"/>
    </xf>
    <xf numFmtId="0" fontId="63" fillId="0" borderId="0" xfId="0" applyFont="1" applyAlignment="1">
      <alignment horizontal="left" vertical="center"/>
    </xf>
    <xf numFmtId="0" fontId="63" fillId="0" borderId="0" xfId="0" applyFont="1" applyAlignment="1">
      <alignment horizontal="left"/>
    </xf>
    <xf numFmtId="0" fontId="63" fillId="0" borderId="0" xfId="0" applyFont="1" applyAlignment="1" applyProtection="1">
      <alignment horizontal="left" vertical="center"/>
      <protection locked="0"/>
    </xf>
    <xf numFmtId="0" fontId="67" fillId="0" borderId="0" xfId="0" applyFont="1" applyAlignment="1">
      <alignment horizontal="left"/>
    </xf>
    <xf numFmtId="49" fontId="63" fillId="0" borderId="0" xfId="0" applyNumberFormat="1" applyFont="1" applyAlignment="1" applyProtection="1">
      <alignment horizontal="left" vertical="center"/>
      <protection locked="0"/>
    </xf>
    <xf numFmtId="0" fontId="66" fillId="0" borderId="0" xfId="2" applyFont="1" applyAlignment="1">
      <alignment horizontal="left" vertical="center"/>
      <protection locked="0"/>
    </xf>
    <xf numFmtId="0" fontId="67" fillId="0" borderId="0" xfId="0" applyFont="1" applyAlignment="1">
      <alignment horizontal="left" vertical="center"/>
    </xf>
    <xf numFmtId="168" fontId="63" fillId="0" borderId="0" xfId="0" applyNumberFormat="1" applyFont="1" applyAlignment="1" applyProtection="1">
      <alignment horizontal="left" vertical="center"/>
      <protection locked="0"/>
    </xf>
    <xf numFmtId="0" fontId="66" fillId="0" borderId="0" xfId="2" applyFont="1" applyBorder="1" applyAlignment="1" applyProtection="1">
      <alignment horizontal="left" vertical="center"/>
      <protection locked="0"/>
    </xf>
    <xf numFmtId="0" fontId="64" fillId="0" borderId="0" xfId="0" applyFont="1" applyAlignment="1">
      <alignment horizontal="left" vertical="center"/>
    </xf>
    <xf numFmtId="0" fontId="64" fillId="4" borderId="0" xfId="0" applyFont="1" applyFill="1" applyAlignment="1">
      <alignment horizontal="left" vertical="center"/>
    </xf>
    <xf numFmtId="0" fontId="64" fillId="0" borderId="0" xfId="0" applyFont="1" applyAlignment="1">
      <alignment horizontal="left"/>
    </xf>
    <xf numFmtId="14" fontId="65" fillId="0" borderId="0" xfId="0" applyNumberFormat="1" applyFont="1" applyAlignment="1">
      <alignment horizontal="left" vertical="center"/>
    </xf>
    <xf numFmtId="169" fontId="63" fillId="0" borderId="0" xfId="0" applyNumberFormat="1" applyFont="1" applyAlignment="1" applyProtection="1">
      <alignment horizontal="left" vertical="center"/>
      <protection locked="0"/>
    </xf>
    <xf numFmtId="167" fontId="63" fillId="0" borderId="0" xfId="0" applyNumberFormat="1" applyFont="1" applyAlignment="1" applyProtection="1">
      <alignment horizontal="left" vertical="center"/>
      <protection locked="0"/>
    </xf>
    <xf numFmtId="169" fontId="63" fillId="0" borderId="0" xfId="0" applyNumberFormat="1" applyFont="1" applyAlignment="1">
      <alignment horizontal="left"/>
    </xf>
    <xf numFmtId="0" fontId="63" fillId="6" borderId="0" xfId="0" applyFont="1" applyFill="1" applyAlignment="1">
      <alignment horizontal="left" vertical="center"/>
    </xf>
    <xf numFmtId="0" fontId="63" fillId="6" borderId="0" xfId="0" applyFont="1" applyFill="1" applyAlignment="1" applyProtection="1">
      <alignment horizontal="left" vertical="center"/>
      <protection locked="0"/>
    </xf>
    <xf numFmtId="0" fontId="63" fillId="8" borderId="0" xfId="0" applyFont="1" applyFill="1" applyAlignment="1">
      <alignment horizontal="left"/>
    </xf>
    <xf numFmtId="0" fontId="63" fillId="4" borderId="0" xfId="0" applyFont="1" applyFill="1" applyAlignment="1">
      <alignment horizontal="left" vertical="center"/>
    </xf>
    <xf numFmtId="0" fontId="63" fillId="4" borderId="0" xfId="0" applyFont="1" applyFill="1" applyAlignment="1" applyProtection="1">
      <alignment horizontal="left" vertical="center"/>
      <protection locked="0"/>
    </xf>
    <xf numFmtId="0" fontId="64" fillId="8" borderId="0" xfId="0" applyFont="1" applyFill="1" applyAlignment="1">
      <alignment horizontal="left" vertical="center"/>
    </xf>
    <xf numFmtId="0" fontId="63" fillId="13" borderId="0" xfId="0" applyFont="1" applyFill="1" applyAlignment="1">
      <alignment horizontal="left" vertical="center"/>
    </xf>
    <xf numFmtId="0" fontId="64" fillId="10" borderId="0" xfId="0" applyFont="1" applyFill="1" applyAlignment="1">
      <alignment horizontal="left" vertical="center"/>
    </xf>
    <xf numFmtId="0" fontId="66" fillId="0" borderId="0" xfId="2" applyFont="1" applyAlignment="1" applyProtection="1">
      <alignment horizontal="left"/>
    </xf>
    <xf numFmtId="0" fontId="63" fillId="8" borderId="0" xfId="0" applyFont="1" applyFill="1" applyAlignment="1">
      <alignment horizontal="left" vertical="center"/>
    </xf>
    <xf numFmtId="0" fontId="64" fillId="0" borderId="0" xfId="0" quotePrefix="1" applyFont="1" applyAlignment="1">
      <alignment horizontal="left"/>
    </xf>
    <xf numFmtId="0" fontId="63" fillId="9" borderId="0" xfId="0" applyFont="1" applyFill="1" applyAlignment="1">
      <alignment horizontal="left" vertical="center"/>
    </xf>
    <xf numFmtId="1" fontId="63" fillId="9" borderId="0" xfId="0" applyNumberFormat="1" applyFont="1" applyFill="1" applyAlignment="1">
      <alignment horizontal="left" vertical="center"/>
    </xf>
    <xf numFmtId="1" fontId="63" fillId="9" borderId="0" xfId="0" applyNumberFormat="1" applyFont="1" applyFill="1" applyAlignment="1">
      <alignment horizontal="left"/>
    </xf>
    <xf numFmtId="0" fontId="63" fillId="9" borderId="0" xfId="0" applyFont="1" applyFill="1" applyAlignment="1">
      <alignment horizontal="left"/>
    </xf>
    <xf numFmtId="0" fontId="63" fillId="14" borderId="0" xfId="0" applyFont="1" applyFill="1" applyAlignment="1">
      <alignment horizontal="left"/>
    </xf>
    <xf numFmtId="0" fontId="58" fillId="15" borderId="79" xfId="0" applyFont="1" applyFill="1" applyBorder="1" applyAlignment="1">
      <alignment horizontal="left" vertical="center"/>
    </xf>
    <xf numFmtId="0" fontId="59" fillId="16" borderId="79" xfId="0" applyFont="1" applyFill="1" applyBorder="1" applyAlignment="1">
      <alignment horizontal="left" vertical="center"/>
    </xf>
    <xf numFmtId="0" fontId="59" fillId="17" borderId="79" xfId="0" applyFont="1" applyFill="1" applyBorder="1" applyAlignment="1">
      <alignment horizontal="left" vertical="center"/>
    </xf>
    <xf numFmtId="0" fontId="17" fillId="0" borderId="0" xfId="2" applyAlignment="1" applyProtection="1">
      <alignment horizontal="left" vertical="center"/>
    </xf>
    <xf numFmtId="0" fontId="68" fillId="0" borderId="0" xfId="0" applyFont="1" applyAlignment="1" applyProtection="1">
      <alignment horizontal="left" vertical="center"/>
      <protection locked="0"/>
    </xf>
    <xf numFmtId="0" fontId="69" fillId="0" borderId="0" xfId="0" applyFont="1" applyAlignment="1">
      <alignment horizontal="left" vertical="center"/>
    </xf>
    <xf numFmtId="49" fontId="68" fillId="0" borderId="0" xfId="0" applyNumberFormat="1" applyFont="1" applyAlignment="1" applyProtection="1">
      <alignment horizontal="left" vertical="center"/>
      <protection locked="0"/>
    </xf>
    <xf numFmtId="0" fontId="68" fillId="0" borderId="0" xfId="0" quotePrefix="1" applyFont="1" applyAlignment="1" applyProtection="1">
      <alignment horizontal="left" vertical="center"/>
      <protection locked="0"/>
    </xf>
    <xf numFmtId="0" fontId="70" fillId="0" borderId="0" xfId="2" applyFont="1" applyBorder="1" applyAlignment="1" applyProtection="1">
      <alignment horizontal="left" vertical="center"/>
      <protection locked="0"/>
    </xf>
    <xf numFmtId="0" fontId="71" fillId="0" borderId="0" xfId="0" applyFont="1" applyAlignment="1">
      <alignment horizontal="left"/>
    </xf>
    <xf numFmtId="0" fontId="68" fillId="0" borderId="0" xfId="0" applyFont="1" applyAlignment="1">
      <alignment horizontal="left" vertical="center"/>
    </xf>
    <xf numFmtId="0" fontId="17" fillId="0" borderId="0" xfId="2" applyBorder="1" applyAlignment="1" applyProtection="1">
      <alignment horizontal="left" wrapText="1"/>
    </xf>
    <xf numFmtId="14" fontId="2" fillId="0" borderId="17" xfId="0" applyNumberFormat="1" applyFont="1" applyBorder="1" applyAlignment="1" applyProtection="1">
      <alignment horizontal="center" vertical="center"/>
      <protection hidden="1"/>
    </xf>
    <xf numFmtId="0" fontId="72" fillId="0" borderId="0" xfId="0" applyFont="1"/>
    <xf numFmtId="0" fontId="17" fillId="0" borderId="0" xfId="2" applyAlignment="1" applyProtection="1">
      <alignment horizontal="left"/>
    </xf>
    <xf numFmtId="164" fontId="5" fillId="13" borderId="7" xfId="0" applyNumberFormat="1" applyFont="1" applyFill="1" applyBorder="1" applyAlignment="1" applyProtection="1">
      <alignment vertical="center"/>
      <protection hidden="1"/>
    </xf>
    <xf numFmtId="0" fontId="2" fillId="13" borderId="0" xfId="0" applyFont="1" applyFill="1" applyAlignment="1" applyProtection="1">
      <alignment vertical="center"/>
      <protection hidden="1"/>
    </xf>
    <xf numFmtId="0" fontId="64" fillId="4" borderId="25" xfId="0" applyFont="1" applyFill="1" applyBorder="1" applyAlignment="1">
      <alignment horizontal="center" vertical="center"/>
    </xf>
    <xf numFmtId="0" fontId="63" fillId="0" borderId="0" xfId="0" applyFont="1" applyAlignment="1" applyProtection="1">
      <alignment horizontal="center" vertical="center"/>
      <protection locked="0"/>
    </xf>
    <xf numFmtId="0" fontId="63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60" fillId="0" borderId="41" xfId="0" applyFont="1" applyBorder="1" applyAlignment="1" applyProtection="1">
      <alignment horizontal="center" vertical="center" wrapText="1"/>
      <protection hidden="1"/>
    </xf>
    <xf numFmtId="0" fontId="60" fillId="0" borderId="42" xfId="0" applyFont="1" applyBorder="1" applyAlignment="1" applyProtection="1">
      <alignment horizontal="center" vertical="center" wrapText="1"/>
      <protection hidden="1"/>
    </xf>
    <xf numFmtId="0" fontId="60" fillId="0" borderId="26" xfId="0" applyFont="1" applyBorder="1" applyAlignment="1" applyProtection="1">
      <alignment horizontal="center" vertical="center" wrapText="1"/>
      <protection hidden="1"/>
    </xf>
    <xf numFmtId="0" fontId="60" fillId="0" borderId="0" xfId="0" applyFont="1" applyAlignment="1" applyProtection="1">
      <alignment horizontal="center" vertical="center" wrapText="1"/>
      <protection hidden="1"/>
    </xf>
    <xf numFmtId="0" fontId="60" fillId="0" borderId="28" xfId="0" applyFont="1" applyBorder="1" applyAlignment="1" applyProtection="1">
      <alignment horizontal="center" vertical="center" wrapText="1"/>
      <protection hidden="1"/>
    </xf>
    <xf numFmtId="0" fontId="60" fillId="0" borderId="29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41" fillId="0" borderId="46" xfId="0" applyFont="1" applyBorder="1" applyAlignment="1" applyProtection="1">
      <alignment horizontal="center" vertical="center"/>
      <protection hidden="1"/>
    </xf>
    <xf numFmtId="0" fontId="42" fillId="0" borderId="46" xfId="0" applyFont="1" applyBorder="1" applyAlignment="1">
      <alignment horizontal="center" vertical="center"/>
    </xf>
    <xf numFmtId="0" fontId="42" fillId="0" borderId="54" xfId="0" applyFont="1" applyBorder="1" applyAlignment="1">
      <alignment horizontal="center" vertical="center"/>
    </xf>
    <xf numFmtId="0" fontId="42" fillId="0" borderId="51" xfId="0" applyFont="1" applyBorder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0" fontId="42" fillId="0" borderId="53" xfId="0" applyFont="1" applyBorder="1" applyAlignment="1">
      <alignment horizontal="center" vertical="center"/>
    </xf>
    <xf numFmtId="0" fontId="42" fillId="0" borderId="56" xfId="0" applyFont="1" applyBorder="1" applyAlignment="1">
      <alignment horizontal="center" vertical="center"/>
    </xf>
    <xf numFmtId="171" fontId="13" fillId="0" borderId="36" xfId="0" applyNumberFormat="1" applyFont="1" applyBorder="1" applyAlignment="1" applyProtection="1">
      <alignment horizontal="center" vertical="center"/>
      <protection locked="0" hidden="1"/>
    </xf>
    <xf numFmtId="171" fontId="13" fillId="0" borderId="15" xfId="0" applyNumberFormat="1" applyFont="1" applyBorder="1" applyAlignment="1" applyProtection="1">
      <alignment horizontal="center" vertical="center"/>
      <protection locked="0" hidden="1"/>
    </xf>
    <xf numFmtId="171" fontId="13" fillId="0" borderId="17" xfId="0" applyNumberFormat="1" applyFont="1" applyBorder="1" applyAlignment="1" applyProtection="1">
      <alignment horizontal="center" vertical="center"/>
      <protection locked="0" hidden="1"/>
    </xf>
    <xf numFmtId="170" fontId="13" fillId="0" borderId="38" xfId="0" applyNumberFormat="1" applyFont="1" applyBorder="1" applyAlignment="1" applyProtection="1">
      <alignment horizontal="left" vertical="center"/>
      <protection hidden="1"/>
    </xf>
    <xf numFmtId="170" fontId="13" fillId="0" borderId="39" xfId="0" applyNumberFormat="1" applyFont="1" applyBorder="1" applyAlignment="1" applyProtection="1">
      <alignment horizontal="left" vertical="center"/>
      <protection hidden="1"/>
    </xf>
    <xf numFmtId="170" fontId="13" fillId="0" borderId="62" xfId="0" applyNumberFormat="1" applyFont="1" applyBorder="1" applyAlignment="1" applyProtection="1">
      <alignment horizontal="left" vertical="center"/>
      <protection hidden="1"/>
    </xf>
    <xf numFmtId="0" fontId="37" fillId="0" borderId="13" xfId="0" applyFont="1" applyBorder="1" applyAlignment="1" applyProtection="1">
      <alignment horizontal="center" vertical="distributed" wrapText="1" readingOrder="1"/>
      <protection hidden="1"/>
    </xf>
    <xf numFmtId="0" fontId="37" fillId="0" borderId="7" xfId="0" applyFont="1" applyBorder="1" applyAlignment="1" applyProtection="1">
      <alignment horizontal="center" vertical="distributed" wrapText="1" readingOrder="1"/>
      <protection hidden="1"/>
    </xf>
    <xf numFmtId="0" fontId="37" fillId="0" borderId="8" xfId="0" applyFont="1" applyBorder="1" applyAlignment="1" applyProtection="1">
      <alignment horizontal="center" vertical="distributed" wrapText="1" readingOrder="1"/>
      <protection hidden="1"/>
    </xf>
    <xf numFmtId="0" fontId="37" fillId="0" borderId="1" xfId="0" applyFont="1" applyBorder="1" applyAlignment="1" applyProtection="1">
      <alignment horizontal="center" vertical="distributed" wrapText="1" readingOrder="1"/>
      <protection hidden="1"/>
    </xf>
    <xf numFmtId="0" fontId="37" fillId="0" borderId="0" xfId="0" applyFont="1" applyAlignment="1" applyProtection="1">
      <alignment horizontal="center" vertical="distributed" wrapText="1" readingOrder="1"/>
      <protection hidden="1"/>
    </xf>
    <xf numFmtId="0" fontId="37" fillId="0" borderId="6" xfId="0" applyFont="1" applyBorder="1" applyAlignment="1" applyProtection="1">
      <alignment horizontal="center" vertical="distributed" wrapText="1" readingOrder="1"/>
      <protection hidden="1"/>
    </xf>
    <xf numFmtId="0" fontId="37" fillId="0" borderId="21" xfId="0" applyFont="1" applyBorder="1" applyAlignment="1" applyProtection="1">
      <alignment horizontal="center" vertical="distributed" wrapText="1" readingOrder="1"/>
      <protection hidden="1"/>
    </xf>
    <xf numFmtId="0" fontId="37" fillId="0" borderId="15" xfId="0" applyFont="1" applyBorder="1" applyAlignment="1" applyProtection="1">
      <alignment horizontal="center" vertical="distributed" wrapText="1" readingOrder="1"/>
      <protection hidden="1"/>
    </xf>
    <xf numFmtId="0" fontId="37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56" fillId="0" borderId="3" xfId="0" applyFont="1" applyBorder="1" applyAlignment="1" applyProtection="1">
      <alignment horizontal="center" vertical="center" wrapText="1"/>
      <protection hidden="1"/>
    </xf>
    <xf numFmtId="0" fontId="56" fillId="0" borderId="78" xfId="0" applyFont="1" applyBorder="1" applyAlignment="1" applyProtection="1">
      <alignment horizontal="center" vertical="center" wrapText="1"/>
      <protection hidden="1"/>
    </xf>
    <xf numFmtId="0" fontId="56" fillId="0" borderId="0" xfId="0" applyFont="1" applyAlignment="1" applyProtection="1">
      <alignment horizontal="center" vertical="center" wrapText="1"/>
      <protection hidden="1"/>
    </xf>
    <xf numFmtId="0" fontId="56" fillId="0" borderId="27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0" fontId="52" fillId="0" borderId="41" xfId="0" applyFont="1" applyBorder="1" applyAlignment="1" applyProtection="1">
      <alignment horizontal="center" vertical="center" wrapText="1"/>
      <protection hidden="1"/>
    </xf>
    <xf numFmtId="0" fontId="52" fillId="0" borderId="42" xfId="0" applyFont="1" applyBorder="1" applyAlignment="1" applyProtection="1">
      <alignment horizontal="center" vertical="center" wrapText="1"/>
      <protection hidden="1"/>
    </xf>
    <xf numFmtId="0" fontId="52" fillId="0" borderId="43" xfId="0" applyFont="1" applyBorder="1" applyAlignment="1" applyProtection="1">
      <alignment horizontal="center" vertical="center" wrapText="1"/>
      <protection hidden="1"/>
    </xf>
    <xf numFmtId="0" fontId="52" fillId="0" borderId="26" xfId="0" applyFont="1" applyBorder="1" applyAlignment="1" applyProtection="1">
      <alignment horizontal="center" vertical="center" wrapText="1"/>
      <protection hidden="1"/>
    </xf>
    <xf numFmtId="0" fontId="52" fillId="0" borderId="0" xfId="0" applyFont="1" applyAlignment="1" applyProtection="1">
      <alignment horizontal="center" vertical="center" wrapText="1"/>
      <protection hidden="1"/>
    </xf>
    <xf numFmtId="0" fontId="52" fillId="0" borderId="27" xfId="0" applyFont="1" applyBorder="1" applyAlignment="1" applyProtection="1">
      <alignment horizontal="center" vertical="center" wrapText="1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11" fillId="11" borderId="32" xfId="0" applyFont="1" applyFill="1" applyBorder="1" applyAlignment="1" applyProtection="1">
      <alignment horizontal="center" vertical="center"/>
      <protection hidden="1"/>
    </xf>
    <xf numFmtId="0" fontId="11" fillId="11" borderId="23" xfId="0" applyFont="1" applyFill="1" applyBorder="1" applyAlignment="1" applyProtection="1">
      <alignment horizontal="center" vertical="center"/>
      <protection hidden="1"/>
    </xf>
    <xf numFmtId="0" fontId="11" fillId="11" borderId="33" xfId="0" applyFont="1" applyFill="1" applyBorder="1" applyAlignment="1" applyProtection="1">
      <alignment horizontal="center" vertical="center"/>
      <protection hidden="1"/>
    </xf>
    <xf numFmtId="14" fontId="34" fillId="0" borderId="12" xfId="0" applyNumberFormat="1" applyFont="1" applyBorder="1" applyAlignment="1" applyProtection="1">
      <alignment horizontal="center" vertical="center" wrapText="1"/>
      <protection hidden="1"/>
    </xf>
    <xf numFmtId="14" fontId="34" fillId="0" borderId="37" xfId="0" applyNumberFormat="1" applyFont="1" applyBorder="1" applyAlignment="1" applyProtection="1">
      <alignment horizontal="center" vertical="center" wrapText="1"/>
      <protection hidden="1"/>
    </xf>
    <xf numFmtId="14" fontId="34" fillId="0" borderId="3" xfId="0" applyNumberFormat="1" applyFont="1" applyBorder="1" applyAlignment="1" applyProtection="1">
      <alignment horizontal="center" vertical="center" wrapText="1"/>
      <protection hidden="1"/>
    </xf>
    <xf numFmtId="14" fontId="34" fillId="0" borderId="5" xfId="0" applyNumberFormat="1" applyFont="1" applyBorder="1" applyAlignment="1" applyProtection="1">
      <alignment horizontal="center" vertical="center" wrapText="1"/>
      <protection hidden="1"/>
    </xf>
    <xf numFmtId="14" fontId="34" fillId="0" borderId="34" xfId="0" applyNumberFormat="1" applyFont="1" applyBorder="1" applyAlignment="1" applyProtection="1">
      <alignment horizontal="center" vertical="center" wrapText="1"/>
      <protection hidden="1"/>
    </xf>
    <xf numFmtId="14" fontId="34" fillId="0" borderId="31" xfId="0" applyNumberFormat="1" applyFont="1" applyBorder="1" applyAlignment="1" applyProtection="1">
      <alignment horizontal="center" vertical="center" wrapText="1"/>
      <protection hidden="1"/>
    </xf>
    <xf numFmtId="0" fontId="17" fillId="13" borderId="36" xfId="2" applyFill="1" applyBorder="1" applyAlignment="1" applyProtection="1">
      <alignment horizontal="center" vertical="center"/>
      <protection locked="0"/>
    </xf>
    <xf numFmtId="0" fontId="10" fillId="13" borderId="15" xfId="0" applyFont="1" applyFill="1" applyBorder="1" applyAlignment="1" applyProtection="1">
      <alignment horizontal="center" vertical="center"/>
      <protection locked="0"/>
    </xf>
    <xf numFmtId="0" fontId="10" fillId="13" borderId="17" xfId="0" applyFont="1" applyFill="1" applyBorder="1" applyAlignment="1" applyProtection="1">
      <alignment horizontal="center" vertical="center"/>
      <protection locked="0"/>
    </xf>
    <xf numFmtId="171" fontId="13" fillId="0" borderId="34" xfId="0" applyNumberFormat="1" applyFont="1" applyBorder="1" applyAlignment="1" applyProtection="1">
      <alignment horizontal="center" vertical="center"/>
      <protection locked="0" hidden="1"/>
    </xf>
    <xf numFmtId="171" fontId="13" fillId="0" borderId="31" xfId="0" applyNumberFormat="1" applyFont="1" applyBorder="1" applyAlignment="1" applyProtection="1">
      <alignment horizontal="center" vertical="center"/>
      <protection locked="0" hidden="1"/>
    </xf>
    <xf numFmtId="0" fontId="43" fillId="0" borderId="16" xfId="0" applyFont="1" applyBorder="1" applyAlignment="1" applyProtection="1">
      <alignment horizontal="center" vertical="center"/>
      <protection hidden="1"/>
    </xf>
    <xf numFmtId="0" fontId="34" fillId="0" borderId="37" xfId="0" applyFont="1" applyBorder="1" applyAlignment="1" applyProtection="1">
      <alignment horizontal="center" vertical="center"/>
      <protection hidden="1"/>
    </xf>
    <xf numFmtId="0" fontId="34" fillId="0" borderId="34" xfId="0" applyFont="1" applyBorder="1" applyAlignment="1" applyProtection="1">
      <alignment horizontal="center" vertical="center"/>
      <protection hidden="1"/>
    </xf>
    <xf numFmtId="0" fontId="34" fillId="0" borderId="31" xfId="0" applyFont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34" fillId="0" borderId="32" xfId="0" applyFont="1" applyBorder="1" applyAlignment="1" applyProtection="1">
      <alignment horizontal="center" vertical="center"/>
      <protection hidden="1"/>
    </xf>
    <xf numFmtId="0" fontId="34" fillId="0" borderId="23" xfId="0" applyFont="1" applyBorder="1" applyAlignment="1" applyProtection="1">
      <alignment horizontal="center" vertical="center"/>
      <protection hidden="1"/>
    </xf>
    <xf numFmtId="0" fontId="34" fillId="0" borderId="33" xfId="0" applyFont="1" applyBorder="1" applyAlignment="1" applyProtection="1">
      <alignment horizontal="center" vertical="center"/>
      <protection hidden="1"/>
    </xf>
    <xf numFmtId="0" fontId="34" fillId="0" borderId="45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164" fontId="44" fillId="0" borderId="13" xfId="0" applyNumberFormat="1" applyFont="1" applyBorder="1" applyAlignment="1" applyProtection="1">
      <alignment horizontal="center" vertical="center"/>
      <protection hidden="1"/>
    </xf>
    <xf numFmtId="164" fontId="44" fillId="0" borderId="10" xfId="0" applyNumberFormat="1" applyFont="1" applyBorder="1" applyAlignment="1" applyProtection="1">
      <alignment horizontal="center" vertical="center"/>
      <protection hidden="1"/>
    </xf>
    <xf numFmtId="164" fontId="44" fillId="0" borderId="7" xfId="0" applyNumberFormat="1" applyFont="1" applyBorder="1" applyAlignment="1" applyProtection="1">
      <alignment horizontal="center" vertical="center"/>
      <protection hidden="1"/>
    </xf>
    <xf numFmtId="0" fontId="48" fillId="0" borderId="21" xfId="0" applyFont="1" applyBorder="1" applyAlignment="1" applyProtection="1">
      <alignment horizontal="center" vertical="center"/>
      <protection hidden="1"/>
    </xf>
    <xf numFmtId="0" fontId="48" fillId="0" borderId="15" xfId="0" applyFont="1" applyBorder="1" applyAlignment="1" applyProtection="1">
      <alignment horizontal="center" vertical="center"/>
      <protection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0" fontId="34" fillId="13" borderId="63" xfId="0" applyFont="1" applyFill="1" applyBorder="1" applyAlignment="1" applyProtection="1">
      <alignment horizontal="center" vertical="center"/>
      <protection hidden="1"/>
    </xf>
    <xf numFmtId="0" fontId="30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47" fillId="7" borderId="0" xfId="0" applyFont="1" applyFill="1" applyAlignment="1" applyProtection="1">
      <alignment horizontal="center" vertical="center"/>
      <protection hidden="1"/>
    </xf>
    <xf numFmtId="0" fontId="15" fillId="0" borderId="37" xfId="0" applyFont="1" applyBorder="1" applyAlignment="1" applyProtection="1">
      <alignment horizontal="center" vertical="center"/>
      <protection hidden="1"/>
    </xf>
    <xf numFmtId="0" fontId="15" fillId="0" borderId="34" xfId="0" applyFont="1" applyBorder="1" applyAlignment="1" applyProtection="1">
      <alignment horizontal="center" vertical="center"/>
      <protection hidden="1"/>
    </xf>
    <xf numFmtId="0" fontId="15" fillId="0" borderId="31" xfId="0" applyFont="1" applyBorder="1" applyAlignment="1" applyProtection="1">
      <alignment horizontal="center" vertical="center"/>
      <protection hidden="1"/>
    </xf>
    <xf numFmtId="0" fontId="15" fillId="0" borderId="38" xfId="0" applyFont="1" applyBorder="1" applyAlignment="1" applyProtection="1">
      <alignment horizontal="center" vertical="center"/>
      <protection hidden="1"/>
    </xf>
    <xf numFmtId="0" fontId="15" fillId="0" borderId="39" xfId="0" applyFont="1" applyBorder="1" applyAlignment="1" applyProtection="1">
      <alignment horizontal="center" vertical="center"/>
      <protection hidden="1"/>
    </xf>
    <xf numFmtId="0" fontId="15" fillId="0" borderId="40" xfId="0" applyFont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0" fontId="15" fillId="0" borderId="22" xfId="0" applyFont="1" applyBorder="1" applyAlignment="1" applyProtection="1">
      <alignment horizontal="center" vertical="center"/>
      <protection hidden="1"/>
    </xf>
    <xf numFmtId="168" fontId="39" fillId="0" borderId="37" xfId="0" applyNumberFormat="1" applyFont="1" applyBorder="1" applyAlignment="1" applyProtection="1">
      <alignment horizontal="center" vertical="center"/>
      <protection hidden="1"/>
    </xf>
    <xf numFmtId="168" fontId="39" fillId="0" borderId="34" xfId="0" applyNumberFormat="1" applyFont="1" applyBorder="1" applyAlignment="1" applyProtection="1">
      <alignment horizontal="center" vertical="center"/>
      <protection hidden="1"/>
    </xf>
    <xf numFmtId="168" fontId="39" fillId="0" borderId="31" xfId="0" applyNumberFormat="1" applyFont="1" applyBorder="1" applyAlignment="1" applyProtection="1">
      <alignment horizontal="center" vertical="center"/>
      <protection hidden="1"/>
    </xf>
    <xf numFmtId="168" fontId="39" fillId="0" borderId="38" xfId="0" applyNumberFormat="1" applyFont="1" applyBorder="1" applyAlignment="1" applyProtection="1">
      <alignment horizontal="center" vertical="center"/>
      <protection hidden="1"/>
    </xf>
    <xf numFmtId="168" fontId="39" fillId="0" borderId="39" xfId="0" applyNumberFormat="1" applyFont="1" applyBorder="1" applyAlignment="1" applyProtection="1">
      <alignment horizontal="center" vertical="center"/>
      <protection hidden="1"/>
    </xf>
    <xf numFmtId="168" fontId="39" fillId="0" borderId="40" xfId="0" applyNumberFormat="1" applyFont="1" applyBorder="1" applyAlignment="1" applyProtection="1">
      <alignment horizontal="center" vertical="center"/>
      <protection hidden="1"/>
    </xf>
    <xf numFmtId="14" fontId="12" fillId="11" borderId="32" xfId="0" applyNumberFormat="1" applyFont="1" applyFill="1" applyBorder="1" applyAlignment="1" applyProtection="1">
      <alignment horizontal="center" vertical="center"/>
      <protection hidden="1"/>
    </xf>
    <xf numFmtId="14" fontId="35" fillId="11" borderId="23" xfId="0" applyNumberFormat="1" applyFont="1" applyFill="1" applyBorder="1" applyAlignment="1" applyProtection="1">
      <alignment horizontal="center" vertical="center"/>
      <protection hidden="1"/>
    </xf>
    <xf numFmtId="14" fontId="35" fillId="11" borderId="33" xfId="0" applyNumberFormat="1" applyFont="1" applyFill="1" applyBorder="1" applyAlignment="1" applyProtection="1">
      <alignment horizontal="center" vertical="center"/>
      <protection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36" fillId="5" borderId="1" xfId="0" applyNumberFormat="1" applyFont="1" applyFill="1" applyBorder="1" applyAlignment="1" applyProtection="1">
      <alignment horizontal="center" vertical="center"/>
      <protection locked="0" hidden="1"/>
    </xf>
    <xf numFmtId="1" fontId="36" fillId="5" borderId="0" xfId="0" applyNumberFormat="1" applyFont="1" applyFill="1" applyAlignment="1" applyProtection="1">
      <alignment horizontal="center" vertical="center"/>
      <protection locked="0" hidden="1"/>
    </xf>
    <xf numFmtId="1" fontId="36" fillId="5" borderId="2" xfId="0" applyNumberFormat="1" applyFont="1" applyFill="1" applyBorder="1" applyAlignment="1" applyProtection="1">
      <alignment horizontal="center" vertical="center"/>
      <protection locked="0" hidden="1"/>
    </xf>
    <xf numFmtId="1" fontId="36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36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36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6" xfId="0" applyNumberFormat="1" applyFont="1" applyBorder="1" applyAlignment="1" applyProtection="1">
      <alignment horizontal="center" vertical="center"/>
      <protection locked="0" hidden="1"/>
    </xf>
    <xf numFmtId="0" fontId="5" fillId="0" borderId="46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1" xfId="0" applyFont="1" applyBorder="1" applyAlignment="1" applyProtection="1">
      <alignment horizontal="center" vertical="center"/>
      <protection locked="0" hidden="1"/>
    </xf>
    <xf numFmtId="0" fontId="5" fillId="0" borderId="55" xfId="0" applyFont="1" applyBorder="1" applyAlignment="1" applyProtection="1">
      <alignment horizontal="center" vertical="center"/>
      <protection locked="0" hidden="1"/>
    </xf>
    <xf numFmtId="0" fontId="5" fillId="0" borderId="53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14" fontId="5" fillId="0" borderId="57" xfId="0" applyNumberFormat="1" applyFont="1" applyBorder="1" applyAlignment="1" applyProtection="1">
      <alignment horizontal="center" vertical="center"/>
      <protection hidden="1"/>
    </xf>
    <xf numFmtId="14" fontId="5" fillId="0" borderId="58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4" fontId="5" fillId="0" borderId="51" xfId="0" applyNumberFormat="1" applyFont="1" applyBorder="1" applyAlignment="1" applyProtection="1">
      <alignment horizontal="center" vertical="center"/>
      <protection hidden="1"/>
    </xf>
    <xf numFmtId="14" fontId="5" fillId="0" borderId="59" xfId="0" applyNumberFormat="1" applyFont="1" applyBorder="1" applyAlignment="1" applyProtection="1">
      <alignment horizontal="center" vertical="center"/>
      <protection hidden="1"/>
    </xf>
    <xf numFmtId="14" fontId="5" fillId="0" borderId="47" xfId="0" applyNumberFormat="1" applyFont="1" applyBorder="1" applyAlignment="1" applyProtection="1">
      <alignment horizontal="center" vertical="center"/>
      <protection hidden="1"/>
    </xf>
    <xf numFmtId="1" fontId="36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36" fillId="5" borderId="3" xfId="0" applyNumberFormat="1" applyFont="1" applyFill="1" applyBorder="1" applyAlignment="1" applyProtection="1">
      <alignment horizontal="center" vertical="center"/>
      <protection locked="0" hidden="1"/>
    </xf>
    <xf numFmtId="1" fontId="36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46" xfId="0" applyFont="1" applyBorder="1" applyAlignment="1" applyProtection="1">
      <alignment horizontal="center" vertical="center"/>
      <protection hidden="1"/>
    </xf>
    <xf numFmtId="0" fontId="5" fillId="0" borderId="50" xfId="0" applyFont="1" applyBorder="1" applyAlignment="1" applyProtection="1">
      <alignment horizontal="center" vertical="center"/>
      <protection hidden="1"/>
    </xf>
    <xf numFmtId="0" fontId="5" fillId="0" borderId="51" xfId="0" applyFont="1" applyBorder="1" applyAlignment="1" applyProtection="1">
      <alignment horizontal="center" vertical="center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locked="0" hidden="1"/>
    </xf>
    <xf numFmtId="14" fontId="5" fillId="0" borderId="51" xfId="0" applyNumberFormat="1" applyFont="1" applyBorder="1" applyAlignment="1" applyProtection="1">
      <alignment horizontal="center" vertical="center"/>
      <protection locked="0" hidden="1"/>
    </xf>
    <xf numFmtId="14" fontId="5" fillId="0" borderId="55" xfId="0" applyNumberFormat="1" applyFont="1" applyBorder="1" applyAlignment="1" applyProtection="1">
      <alignment horizontal="center" vertical="center"/>
      <protection locked="0" hidden="1"/>
    </xf>
    <xf numFmtId="14" fontId="5" fillId="0" borderId="47" xfId="0" applyNumberFormat="1" applyFont="1" applyBorder="1" applyAlignment="1" applyProtection="1">
      <alignment horizontal="center" vertical="center"/>
      <protection locked="0"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8" fillId="0" borderId="12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173" fontId="13" fillId="0" borderId="37" xfId="1" applyFont="1" applyFill="1" applyBorder="1" applyAlignment="1" applyProtection="1">
      <alignment horizontal="center" vertical="center"/>
      <protection locked="0" hidden="1"/>
    </xf>
    <xf numFmtId="173" fontId="13" fillId="0" borderId="34" xfId="1" applyFont="1" applyFill="1" applyBorder="1" applyAlignment="1" applyProtection="1">
      <alignment horizontal="center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48" xfId="0" applyFont="1" applyBorder="1" applyAlignment="1" applyProtection="1">
      <alignment horizontal="center" vertical="center" textRotation="90"/>
      <protection hidden="1"/>
    </xf>
    <xf numFmtId="0" fontId="40" fillId="0" borderId="18" xfId="0" applyFont="1" applyBorder="1" applyAlignment="1" applyProtection="1">
      <alignment horizontal="center" vertical="center"/>
      <protection hidden="1"/>
    </xf>
    <xf numFmtId="0" fontId="40" fillId="0" borderId="5" xfId="0" applyFont="1" applyBorder="1" applyAlignment="1" applyProtection="1">
      <alignment horizontal="center" vertical="center"/>
      <protection hidden="1"/>
    </xf>
    <xf numFmtId="169" fontId="13" fillId="13" borderId="34" xfId="0" applyNumberFormat="1" applyFont="1" applyFill="1" applyBorder="1" applyAlignment="1" applyProtection="1">
      <alignment horizontal="center" vertical="center"/>
      <protection locked="0"/>
    </xf>
    <xf numFmtId="164" fontId="13" fillId="13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3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3" borderId="45" xfId="0" applyNumberFormat="1" applyFont="1" applyFill="1" applyBorder="1" applyAlignment="1" applyProtection="1">
      <alignment horizontal="left" vertical="center"/>
      <protection locked="0" hidden="1"/>
    </xf>
    <xf numFmtId="164" fontId="13" fillId="13" borderId="37" xfId="0" applyNumberFormat="1" applyFont="1" applyFill="1" applyBorder="1" applyAlignment="1" applyProtection="1">
      <alignment horizontal="center" vertical="center"/>
      <protection locked="0" hidden="1"/>
    </xf>
    <xf numFmtId="164" fontId="13" fillId="13" borderId="34" xfId="0" applyNumberFormat="1" applyFont="1" applyFill="1" applyBorder="1" applyAlignment="1" applyProtection="1">
      <alignment horizontal="center" vertical="center"/>
      <protection locked="0" hidden="1"/>
    </xf>
    <xf numFmtId="164" fontId="13" fillId="13" borderId="31" xfId="0" applyNumberFormat="1" applyFont="1" applyFill="1" applyBorder="1" applyAlignment="1" applyProtection="1">
      <alignment horizontal="center" vertical="center"/>
      <protection locked="0" hidden="1"/>
    </xf>
    <xf numFmtId="0" fontId="34" fillId="0" borderId="44" xfId="0" applyFont="1" applyBorder="1" applyAlignment="1" applyProtection="1">
      <alignment horizontal="center" vertical="center"/>
      <protection hidden="1"/>
    </xf>
    <xf numFmtId="0" fontId="46" fillId="0" borderId="12" xfId="0" applyFont="1" applyBorder="1" applyAlignment="1" applyProtection="1">
      <alignment horizontal="center" vertical="center"/>
      <protection hidden="1"/>
    </xf>
    <xf numFmtId="0" fontId="46" fillId="0" borderId="3" xfId="0" applyFont="1" applyBorder="1" applyAlignment="1" applyProtection="1">
      <alignment horizontal="center" vertical="center"/>
      <protection hidden="1"/>
    </xf>
    <xf numFmtId="0" fontId="46" fillId="0" borderId="5" xfId="0" applyFont="1" applyBorder="1" applyAlignment="1" applyProtection="1">
      <alignment horizontal="center" vertical="center"/>
      <protection hidden="1"/>
    </xf>
    <xf numFmtId="0" fontId="46" fillId="0" borderId="21" xfId="0" applyFont="1" applyBorder="1" applyAlignment="1" applyProtection="1">
      <alignment horizontal="center" vertical="center"/>
      <protection hidden="1"/>
    </xf>
    <xf numFmtId="0" fontId="46" fillId="0" borderId="15" xfId="0" applyFont="1" applyBorder="1" applyAlignment="1" applyProtection="1">
      <alignment horizontal="center" vertical="center"/>
      <protection hidden="1"/>
    </xf>
    <xf numFmtId="0" fontId="46" fillId="0" borderId="17" xfId="0" applyFont="1" applyBorder="1" applyAlignment="1" applyProtection="1">
      <alignment horizontal="center" vertical="center"/>
      <protection hidden="1"/>
    </xf>
    <xf numFmtId="0" fontId="34" fillId="0" borderId="12" xfId="0" applyFont="1" applyBorder="1" applyAlignment="1" applyProtection="1">
      <alignment horizontal="center" vertical="center" wrapText="1"/>
      <protection hidden="1"/>
    </xf>
    <xf numFmtId="0" fontId="34" fillId="0" borderId="3" xfId="0" applyFont="1" applyBorder="1" applyAlignment="1" applyProtection="1">
      <alignment horizontal="center" vertical="center" wrapText="1"/>
      <protection hidden="1"/>
    </xf>
    <xf numFmtId="0" fontId="34" fillId="0" borderId="4" xfId="0" applyFont="1" applyBorder="1" applyAlignment="1" applyProtection="1">
      <alignment horizontal="center" vertical="center" wrapText="1"/>
      <protection hidden="1"/>
    </xf>
    <xf numFmtId="0" fontId="34" fillId="0" borderId="37" xfId="0" applyFont="1" applyBorder="1" applyAlignment="1" applyProtection="1">
      <alignment horizontal="center" vertical="center" wrapText="1"/>
      <protection hidden="1"/>
    </xf>
    <xf numFmtId="0" fontId="34" fillId="0" borderId="34" xfId="0" applyFont="1" applyBorder="1" applyAlignment="1" applyProtection="1">
      <alignment horizontal="center" vertical="center" wrapText="1"/>
      <protection hidden="1"/>
    </xf>
    <xf numFmtId="0" fontId="34" fillId="0" borderId="45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75" fontId="75" fillId="0" borderId="13" xfId="0" applyNumberFormat="1" applyFont="1" applyBorder="1" applyAlignment="1" applyProtection="1">
      <alignment horizontal="center" vertical="center"/>
      <protection hidden="1"/>
    </xf>
    <xf numFmtId="175" fontId="75" fillId="0" borderId="7" xfId="0" applyNumberFormat="1" applyFont="1" applyBorder="1" applyAlignment="1" applyProtection="1">
      <alignment horizontal="center" vertical="center"/>
      <protection hidden="1"/>
    </xf>
    <xf numFmtId="175" fontId="75" fillId="0" borderId="10" xfId="0" applyNumberFormat="1" applyFont="1" applyBorder="1" applyAlignment="1" applyProtection="1">
      <alignment horizontal="center" vertical="center"/>
      <protection hidden="1"/>
    </xf>
    <xf numFmtId="175" fontId="75" fillId="0" borderId="1" xfId="0" applyNumberFormat="1" applyFont="1" applyBorder="1" applyAlignment="1" applyProtection="1">
      <alignment horizontal="center" vertical="center"/>
      <protection hidden="1"/>
    </xf>
    <xf numFmtId="175" fontId="75" fillId="0" borderId="0" xfId="0" applyNumberFormat="1" applyFont="1" applyAlignment="1" applyProtection="1">
      <alignment horizontal="center" vertical="center"/>
      <protection hidden="1"/>
    </xf>
    <xf numFmtId="175" fontId="75" fillId="0" borderId="2" xfId="0" applyNumberFormat="1" applyFont="1" applyBorder="1" applyAlignment="1" applyProtection="1">
      <alignment horizontal="center" vertical="center"/>
      <protection hidden="1"/>
    </xf>
    <xf numFmtId="175" fontId="75" fillId="0" borderId="21" xfId="0" applyNumberFormat="1" applyFont="1" applyBorder="1" applyAlignment="1" applyProtection="1">
      <alignment horizontal="center" vertical="center"/>
      <protection hidden="1"/>
    </xf>
    <xf numFmtId="175" fontId="75" fillId="0" borderId="15" xfId="0" applyNumberFormat="1" applyFont="1" applyBorder="1" applyAlignment="1" applyProtection="1">
      <alignment horizontal="center" vertical="center"/>
      <protection hidden="1"/>
    </xf>
    <xf numFmtId="175" fontId="75" fillId="0" borderId="17" xfId="0" applyNumberFormat="1" applyFont="1" applyBorder="1" applyAlignment="1" applyProtection="1">
      <alignment horizontal="center" vertical="center"/>
      <protection hidden="1"/>
    </xf>
    <xf numFmtId="175" fontId="76" fillId="0" borderId="13" xfId="0" applyNumberFormat="1" applyFont="1" applyBorder="1" applyAlignment="1" applyProtection="1">
      <alignment horizontal="center" vertical="center"/>
      <protection hidden="1"/>
    </xf>
    <xf numFmtId="175" fontId="76" fillId="0" borderId="7" xfId="0" applyNumberFormat="1" applyFont="1" applyBorder="1" applyAlignment="1" applyProtection="1">
      <alignment horizontal="center" vertical="center"/>
      <protection hidden="1"/>
    </xf>
    <xf numFmtId="175" fontId="76" fillId="0" borderId="8" xfId="0" applyNumberFormat="1" applyFont="1" applyBorder="1" applyAlignment="1" applyProtection="1">
      <alignment horizontal="center" vertical="center"/>
      <protection hidden="1"/>
    </xf>
    <xf numFmtId="175" fontId="76" fillId="0" borderId="1" xfId="0" applyNumberFormat="1" applyFont="1" applyBorder="1" applyAlignment="1" applyProtection="1">
      <alignment horizontal="center" vertical="center"/>
      <protection hidden="1"/>
    </xf>
    <xf numFmtId="175" fontId="76" fillId="0" borderId="0" xfId="0" applyNumberFormat="1" applyFont="1" applyAlignment="1" applyProtection="1">
      <alignment horizontal="center" vertical="center"/>
      <protection hidden="1"/>
    </xf>
    <xf numFmtId="175" fontId="76" fillId="0" borderId="6" xfId="0" applyNumberFormat="1" applyFont="1" applyBorder="1" applyAlignment="1" applyProtection="1">
      <alignment horizontal="center" vertical="center"/>
      <protection hidden="1"/>
    </xf>
    <xf numFmtId="175" fontId="76" fillId="0" borderId="21" xfId="0" applyNumberFormat="1" applyFont="1" applyBorder="1" applyAlignment="1" applyProtection="1">
      <alignment horizontal="center" vertical="center"/>
      <protection hidden="1"/>
    </xf>
    <xf numFmtId="175" fontId="76" fillId="0" borderId="15" xfId="0" applyNumberFormat="1" applyFont="1" applyBorder="1" applyAlignment="1" applyProtection="1">
      <alignment horizontal="center" vertical="center"/>
      <protection hidden="1"/>
    </xf>
    <xf numFmtId="175" fontId="76" fillId="0" borderId="35" xfId="0" applyNumberFormat="1" applyFont="1" applyBorder="1" applyAlignment="1" applyProtection="1">
      <alignment horizontal="center" vertical="center"/>
      <protection hidden="1"/>
    </xf>
    <xf numFmtId="49" fontId="37" fillId="0" borderId="11" xfId="0" applyNumberFormat="1" applyFont="1" applyBorder="1" applyAlignment="1" applyProtection="1">
      <alignment horizontal="center" vertical="center"/>
      <protection hidden="1"/>
    </xf>
    <xf numFmtId="49" fontId="37" fillId="0" borderId="0" xfId="0" applyNumberFormat="1" applyFont="1" applyAlignment="1" applyProtection="1">
      <alignment horizontal="center" vertical="center"/>
      <protection hidden="1"/>
    </xf>
    <xf numFmtId="49" fontId="37" fillId="0" borderId="6" xfId="0" applyNumberFormat="1" applyFont="1" applyBorder="1" applyAlignment="1" applyProtection="1">
      <alignment horizontal="center" vertical="center"/>
      <protection hidden="1"/>
    </xf>
    <xf numFmtId="49" fontId="37" fillId="0" borderId="36" xfId="0" applyNumberFormat="1" applyFont="1" applyBorder="1" applyAlignment="1" applyProtection="1">
      <alignment horizontal="center" vertical="center"/>
      <protection hidden="1"/>
    </xf>
    <xf numFmtId="49" fontId="37" fillId="0" borderId="15" xfId="0" applyNumberFormat="1" applyFont="1" applyBorder="1" applyAlignment="1" applyProtection="1">
      <alignment horizontal="center" vertical="center"/>
      <protection hidden="1"/>
    </xf>
    <xf numFmtId="49" fontId="37" fillId="0" borderId="35" xfId="0" applyNumberFormat="1" applyFont="1" applyBorder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horizontal="center" vertical="center"/>
      <protection hidden="1"/>
    </xf>
    <xf numFmtId="0" fontId="37" fillId="0" borderId="15" xfId="0" applyFont="1" applyBorder="1" applyAlignment="1" applyProtection="1">
      <alignment horizontal="center" vertical="center"/>
      <protection hidden="1"/>
    </xf>
    <xf numFmtId="176" fontId="77" fillId="0" borderId="9" xfId="0" applyNumberFormat="1" applyFont="1" applyBorder="1" applyAlignment="1" applyProtection="1">
      <alignment horizontal="center" vertical="center"/>
      <protection hidden="1"/>
    </xf>
    <xf numFmtId="176" fontId="77" fillId="0" borderId="7" xfId="0" applyNumberFormat="1" applyFont="1" applyBorder="1" applyAlignment="1" applyProtection="1">
      <alignment horizontal="center" vertical="center"/>
      <protection hidden="1"/>
    </xf>
    <xf numFmtId="176" fontId="77" fillId="0" borderId="10" xfId="0" applyNumberFormat="1" applyFont="1" applyBorder="1" applyAlignment="1" applyProtection="1">
      <alignment horizontal="center" vertical="center"/>
      <protection hidden="1"/>
    </xf>
    <xf numFmtId="176" fontId="77" fillId="0" borderId="11" xfId="0" applyNumberFormat="1" applyFont="1" applyBorder="1" applyAlignment="1" applyProtection="1">
      <alignment horizontal="center" vertical="center"/>
      <protection hidden="1"/>
    </xf>
    <xf numFmtId="176" fontId="77" fillId="0" borderId="0" xfId="0" applyNumberFormat="1" applyFont="1" applyAlignment="1" applyProtection="1">
      <alignment horizontal="center" vertical="center"/>
      <protection hidden="1"/>
    </xf>
    <xf numFmtId="176" fontId="77" fillId="0" borderId="2" xfId="0" applyNumberFormat="1" applyFont="1" applyBorder="1" applyAlignment="1" applyProtection="1">
      <alignment horizontal="center" vertical="center"/>
      <protection hidden="1"/>
    </xf>
    <xf numFmtId="176" fontId="77" fillId="0" borderId="36" xfId="0" applyNumberFormat="1" applyFont="1" applyBorder="1" applyAlignment="1" applyProtection="1">
      <alignment horizontal="center" vertical="center"/>
      <protection hidden="1"/>
    </xf>
    <xf numFmtId="176" fontId="77" fillId="0" borderId="15" xfId="0" applyNumberFormat="1" applyFont="1" applyBorder="1" applyAlignment="1" applyProtection="1">
      <alignment horizontal="center" vertical="center"/>
      <protection hidden="1"/>
    </xf>
    <xf numFmtId="176" fontId="77" fillId="0" borderId="17" xfId="0" applyNumberFormat="1" applyFont="1" applyBorder="1" applyAlignment="1" applyProtection="1">
      <alignment horizontal="center" vertical="center"/>
      <protection hidden="1"/>
    </xf>
    <xf numFmtId="0" fontId="37" fillId="0" borderId="11" xfId="0" applyFont="1" applyBorder="1" applyAlignment="1" applyProtection="1">
      <alignment horizontal="center" vertical="center"/>
      <protection hidden="1"/>
    </xf>
    <xf numFmtId="0" fontId="37" fillId="0" borderId="6" xfId="0" applyFont="1" applyBorder="1" applyAlignment="1" applyProtection="1">
      <alignment horizontal="center" vertical="center"/>
      <protection hidden="1"/>
    </xf>
    <xf numFmtId="0" fontId="37" fillId="0" borderId="36" xfId="0" applyFont="1" applyBorder="1" applyAlignment="1" applyProtection="1">
      <alignment horizontal="center" vertical="center"/>
      <protection hidden="1"/>
    </xf>
    <xf numFmtId="0" fontId="37" fillId="0" borderId="35" xfId="0" applyFont="1" applyBorder="1" applyAlignment="1" applyProtection="1">
      <alignment horizontal="center" vertical="center"/>
      <protection hidden="1"/>
    </xf>
    <xf numFmtId="0" fontId="54" fillId="0" borderId="15" xfId="0" applyFont="1" applyBorder="1" applyAlignment="1">
      <alignment horizontal="center" vertical="center"/>
    </xf>
    <xf numFmtId="49" fontId="33" fillId="0" borderId="20" xfId="0" applyNumberFormat="1" applyFont="1" applyBorder="1" applyAlignment="1" applyProtection="1">
      <alignment horizontal="center" vertical="center"/>
      <protection locked="0"/>
    </xf>
    <xf numFmtId="49" fontId="33" fillId="0" borderId="20" xfId="0" quotePrefix="1" applyNumberFormat="1" applyFont="1" applyBorder="1" applyAlignment="1" applyProtection="1">
      <alignment horizontal="center" vertical="center"/>
      <protection locked="0"/>
    </xf>
    <xf numFmtId="166" fontId="32" fillId="0" borderId="76" xfId="0" applyNumberFormat="1" applyFont="1" applyBorder="1" applyAlignment="1">
      <alignment horizontal="right" vertical="center"/>
    </xf>
    <xf numFmtId="166" fontId="32" fillId="0" borderId="77" xfId="0" applyNumberFormat="1" applyFont="1" applyBorder="1" applyAlignment="1">
      <alignment horizontal="right" vertical="center"/>
    </xf>
    <xf numFmtId="166" fontId="32" fillId="0" borderId="19" xfId="0" applyNumberFormat="1" applyFont="1" applyBorder="1" applyAlignment="1">
      <alignment horizontal="right" vertical="center"/>
    </xf>
    <xf numFmtId="165" fontId="29" fillId="3" borderId="64" xfId="0" applyNumberFormat="1" applyFont="1" applyFill="1" applyBorder="1" applyAlignment="1">
      <alignment horizontal="left" vertical="center"/>
    </xf>
    <xf numFmtId="165" fontId="29" fillId="3" borderId="65" xfId="0" applyNumberFormat="1" applyFont="1" applyFill="1" applyBorder="1" applyAlignment="1">
      <alignment horizontal="left" vertical="center"/>
    </xf>
    <xf numFmtId="165" fontId="28" fillId="3" borderId="65" xfId="0" applyNumberFormat="1" applyFont="1" applyFill="1" applyBorder="1" applyAlignment="1">
      <alignment horizontal="left" vertical="center"/>
    </xf>
    <xf numFmtId="0" fontId="29" fillId="3" borderId="64" xfId="0" applyFont="1" applyFill="1" applyBorder="1" applyAlignment="1">
      <alignment horizontal="center" vertical="center"/>
    </xf>
    <xf numFmtId="0" fontId="29" fillId="3" borderId="65" xfId="0" applyFont="1" applyFill="1" applyBorder="1" applyAlignment="1">
      <alignment horizontal="center" vertical="center"/>
    </xf>
    <xf numFmtId="0" fontId="25" fillId="3" borderId="72" xfId="0" applyFont="1" applyFill="1" applyBorder="1" applyAlignment="1">
      <alignment horizontal="center" vertical="center" textRotation="90"/>
    </xf>
    <xf numFmtId="166" fontId="32" fillId="0" borderId="77" xfId="0" applyNumberFormat="1" applyFont="1" applyBorder="1" applyAlignment="1" applyProtection="1">
      <alignment horizontal="right" vertical="center"/>
      <protection locked="0"/>
    </xf>
    <xf numFmtId="166" fontId="32" fillId="0" borderId="19" xfId="0" applyNumberFormat="1" applyFont="1" applyBorder="1" applyAlignment="1" applyProtection="1">
      <alignment horizontal="right" vertical="center"/>
      <protection locked="0"/>
    </xf>
    <xf numFmtId="166" fontId="32" fillId="0" borderId="20" xfId="0" applyNumberFormat="1" applyFont="1" applyBorder="1" applyAlignment="1" applyProtection="1">
      <alignment horizontal="right" vertical="center"/>
      <protection locked="0"/>
    </xf>
    <xf numFmtId="14" fontId="32" fillId="0" borderId="77" xfId="0" applyNumberFormat="1" applyFont="1" applyBorder="1" applyAlignment="1">
      <alignment horizontal="right" vertical="center"/>
    </xf>
    <xf numFmtId="14" fontId="32" fillId="0" borderId="19" xfId="0" applyNumberFormat="1" applyFont="1" applyBorder="1" applyAlignment="1">
      <alignment horizontal="right" vertical="center"/>
    </xf>
    <xf numFmtId="0" fontId="27" fillId="3" borderId="65" xfId="0" applyFont="1" applyFill="1" applyBorder="1" applyAlignment="1">
      <alignment horizontal="center" vertical="center"/>
    </xf>
    <xf numFmtId="0" fontId="27" fillId="3" borderId="66" xfId="0" applyFont="1" applyFill="1" applyBorder="1" applyAlignment="1">
      <alignment horizontal="center" vertical="center"/>
    </xf>
    <xf numFmtId="0" fontId="27" fillId="3" borderId="74" xfId="0" applyFont="1" applyFill="1" applyBorder="1" applyAlignment="1">
      <alignment horizontal="center" vertical="center" wrapText="1"/>
    </xf>
    <xf numFmtId="0" fontId="15" fillId="2" borderId="49" xfId="0" applyFont="1" applyFill="1" applyBorder="1" applyAlignment="1">
      <alignment horizontal="center" vertical="center"/>
    </xf>
    <xf numFmtId="0" fontId="15" fillId="2" borderId="7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3" fillId="0" borderId="16" xfId="0" applyFont="1" applyBorder="1" applyAlignment="1" applyProtection="1">
      <alignment horizontal="left" vertical="center"/>
      <protection locked="0"/>
    </xf>
    <xf numFmtId="0" fontId="11" fillId="12" borderId="12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3" xfId="0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center" vertical="center"/>
    </xf>
    <xf numFmtId="0" fontId="11" fillId="12" borderId="25" xfId="0" applyFont="1" applyFill="1" applyBorder="1" applyAlignment="1">
      <alignment horizontal="center" vertical="center"/>
    </xf>
    <xf numFmtId="0" fontId="8" fillId="12" borderId="25" xfId="0" applyFont="1" applyFill="1" applyBorder="1" applyAlignment="1">
      <alignment horizontal="center" vertical="center"/>
    </xf>
    <xf numFmtId="0" fontId="17" fillId="0" borderId="16" xfId="2" applyFill="1" applyBorder="1" applyAlignment="1" applyProtection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67" xfId="0" applyFont="1" applyFill="1" applyBorder="1" applyAlignment="1">
      <alignment horizontal="left" vertical="center" wrapText="1"/>
    </xf>
    <xf numFmtId="0" fontId="6" fillId="6" borderId="69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2" fillId="3" borderId="64" xfId="0" applyFont="1" applyFill="1" applyBorder="1" applyAlignment="1">
      <alignment horizontal="center" vertical="center"/>
    </xf>
    <xf numFmtId="0" fontId="12" fillId="3" borderId="65" xfId="0" applyFont="1" applyFill="1" applyBorder="1" applyAlignment="1">
      <alignment horizontal="center" vertical="center"/>
    </xf>
    <xf numFmtId="0" fontId="12" fillId="3" borderId="66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 textRotation="90"/>
    </xf>
    <xf numFmtId="0" fontId="23" fillId="0" borderId="16" xfId="0" applyFont="1" applyBorder="1" applyAlignment="1">
      <alignment horizontal="left" vertical="center"/>
    </xf>
    <xf numFmtId="0" fontId="57" fillId="2" borderId="3" xfId="0" applyFont="1" applyFill="1" applyBorder="1" applyAlignment="1">
      <alignment horizontal="center" vertical="center" wrapText="1"/>
    </xf>
    <xf numFmtId="0" fontId="57" fillId="2" borderId="5" xfId="0" applyFont="1" applyFill="1" applyBorder="1" applyAlignment="1">
      <alignment horizontal="center" vertical="center" wrapText="1"/>
    </xf>
    <xf numFmtId="0" fontId="57" fillId="2" borderId="15" xfId="0" applyFont="1" applyFill="1" applyBorder="1" applyAlignment="1">
      <alignment horizontal="center" vertical="center" wrapText="1"/>
    </xf>
    <xf numFmtId="0" fontId="57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68" xfId="0" applyFont="1" applyFill="1" applyBorder="1" applyAlignment="1">
      <alignment horizontal="left" vertical="center" wrapText="1"/>
    </xf>
    <xf numFmtId="0" fontId="15" fillId="2" borderId="59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15" fillId="2" borderId="57" xfId="0" applyFont="1" applyFill="1" applyBorder="1" applyAlignment="1">
      <alignment horizontal="center" vertical="center"/>
    </xf>
    <xf numFmtId="0" fontId="64" fillId="0" borderId="15" xfId="0" applyFont="1" applyBorder="1" applyAlignment="1">
      <alignment horizontal="left" vertical="center"/>
    </xf>
    <xf numFmtId="0" fontId="64" fillId="0" borderId="32" xfId="0" applyFont="1" applyBorder="1" applyAlignment="1">
      <alignment horizontal="left" vertical="center"/>
    </xf>
    <xf numFmtId="0" fontId="64" fillId="0" borderId="23" xfId="0" applyFont="1" applyBorder="1" applyAlignment="1">
      <alignment horizontal="left" vertical="center"/>
    </xf>
    <xf numFmtId="0" fontId="64" fillId="0" borderId="33" xfId="0" applyFont="1" applyBorder="1" applyAlignment="1">
      <alignment horizontal="left" vertical="center"/>
    </xf>
  </cellXfs>
  <cellStyles count="3">
    <cellStyle name="Euro" xfId="1"/>
    <cellStyle name="Hipervínculo" xfId="2" builtinId="8"/>
    <cellStyle name="Normal" xfId="0" builtinId="0"/>
  </cellStyles>
  <dxfs count="29"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solid"/>
      </fill>
    </dxf>
    <dxf>
      <fill>
        <patternFill patternType="gray125"/>
      </fill>
    </dxf>
    <dxf>
      <fill>
        <patternFill patternType="solid">
          <bgColor indexed="1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ill>
        <patternFill>
          <bgColor indexed="34"/>
        </patternFill>
      </fill>
    </dxf>
    <dxf>
      <font>
        <condense val="0"/>
        <extend val="0"/>
        <color auto="1"/>
      </font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M$14" sel="10" val="0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30" sel="10" val="0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45" noThreeD="1" sel="1" val="0"/>
</file>

<file path=xl/ctrlProps/ctrlProp4.xml><?xml version="1.0" encoding="utf-8"?>
<formControlPr xmlns="http://schemas.microsoft.com/office/spreadsheetml/2009/9/main" objectType="Radio" checked="Checked" firstButton="1" fmlaLink="Turbo" lockText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fmlaLink="'HOJA EXPORTACION'!$J$3" lockText="1" noThreeD="1"/>
</file>

<file path=xl/ctrlProps/ctrlProp7.xml><?xml version="1.0" encoding="utf-8"?>
<formControlPr xmlns="http://schemas.microsoft.com/office/spreadsheetml/2009/9/main" objectType="CheckBox" fmlaLink="Trofeo7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checked="Checked" firstButton="1" fmlaLink="Publicida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46</xdr:row>
          <xdr:rowOff>28575</xdr:rowOff>
        </xdr:from>
        <xdr:to>
          <xdr:col>32</xdr:col>
          <xdr:colOff>142875</xdr:colOff>
          <xdr:row>47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50</xdr:row>
          <xdr:rowOff>0</xdr:rowOff>
        </xdr:from>
        <xdr:to>
          <xdr:col>11</xdr:col>
          <xdr:colOff>180975</xdr:colOff>
          <xdr:row>50</xdr:row>
          <xdr:rowOff>219075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50</xdr:row>
          <xdr:rowOff>0</xdr:rowOff>
        </xdr:from>
        <xdr:to>
          <xdr:col>12</xdr:col>
          <xdr:colOff>161925</xdr:colOff>
          <xdr:row>50</xdr:row>
          <xdr:rowOff>219075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34</xdr:row>
          <xdr:rowOff>76200</xdr:rowOff>
        </xdr:from>
        <xdr:to>
          <xdr:col>35</xdr:col>
          <xdr:colOff>0</xdr:colOff>
          <xdr:row>36</xdr:row>
          <xdr:rowOff>76200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es-E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es-E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 fLocksWithSheet="0"/>
      </xdr:twoCellAnchor>
    </mc:Choice>
    <mc:Fallback/>
  </mc:AlternateContent>
  <xdr:twoCellAnchor editAs="oneCell">
    <xdr:from>
      <xdr:col>26</xdr:col>
      <xdr:colOff>76200</xdr:colOff>
      <xdr:row>50</xdr:row>
      <xdr:rowOff>38100</xdr:rowOff>
    </xdr:from>
    <xdr:to>
      <xdr:col>33</xdr:col>
      <xdr:colOff>67094</xdr:colOff>
      <xdr:row>54</xdr:row>
      <xdr:rowOff>36983</xdr:rowOff>
    </xdr:to>
    <xdr:sp macro="" textlink="">
      <xdr:nvSpPr>
        <xdr:cNvPr id="28" name="Text Box 24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654800" y="6934200"/>
          <a:ext cx="1743494" cy="619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50</xdr:row>
          <xdr:rowOff>0</xdr:rowOff>
        </xdr:from>
        <xdr:to>
          <xdr:col>27</xdr:col>
          <xdr:colOff>104775</xdr:colOff>
          <xdr:row>51</xdr:row>
          <xdr:rowOff>9525</xdr:rowOff>
        </xdr:to>
        <xdr:sp macro="" textlink="">
          <xdr:nvSpPr>
            <xdr:cNvPr id="1272" name="Casilla 204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29</xdr:col>
      <xdr:colOff>38100</xdr:colOff>
      <xdr:row>57</xdr:row>
      <xdr:rowOff>50800</xdr:rowOff>
    </xdr:from>
    <xdr:to>
      <xdr:col>32</xdr:col>
      <xdr:colOff>50800</xdr:colOff>
      <xdr:row>63</xdr:row>
      <xdr:rowOff>144</xdr:rowOff>
    </xdr:to>
    <xdr:sp macro="" textlink="">
      <xdr:nvSpPr>
        <xdr:cNvPr id="2" name="Rectangle 22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7340600" y="9867900"/>
          <a:ext cx="774700" cy="520844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59</xdr:row>
          <xdr:rowOff>0</xdr:rowOff>
        </xdr:from>
        <xdr:to>
          <xdr:col>32</xdr:col>
          <xdr:colOff>50800</xdr:colOff>
          <xdr:row>63</xdr:row>
          <xdr:rowOff>0</xdr:rowOff>
        </xdr:to>
        <xdr:grpSp>
          <xdr:nvGrpSpPr>
            <xdr:cNvPr id="3" name="Group 224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81750" y="8143875"/>
              <a:ext cx="669925" cy="495300"/>
              <a:chOff x="671" y="1204"/>
              <a:chExt cx="70" cy="55"/>
            </a:xfrm>
          </xdr:grpSpPr>
          <xdr:sp macro="" textlink="">
            <xdr:nvSpPr>
              <xdr:cNvPr id="1273" name="Cuadro de grupo 249" hidden="1">
                <a:extLst>
                  <a:ext uri="{63B3BB69-23CF-44E3-9099-C40C66FF867C}">
                    <a14:compatExt spid="_x0000_s1273"/>
                  </a:ext>
                  <a:ext uri="{FF2B5EF4-FFF2-40B4-BE49-F238E27FC236}">
                    <a16:creationId xmlns:a16="http://schemas.microsoft.com/office/drawing/2014/main" id="{00000000-0008-0000-0000-0000F9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74" name="Botón de opción 250" hidden="1">
                <a:extLst>
                  <a:ext uri="{63B3BB69-23CF-44E3-9099-C40C66FF867C}">
                    <a14:compatExt spid="_x0000_s1274"/>
                  </a:ext>
                  <a:ext uri="{FF2B5EF4-FFF2-40B4-BE49-F238E27FC236}">
                    <a16:creationId xmlns:a16="http://schemas.microsoft.com/office/drawing/2014/main" id="{00000000-0008-0000-0000-0000FA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75" name="Botón de opción 251" hidden="1">
                <a:extLst>
                  <a:ext uri="{63B3BB69-23CF-44E3-9099-C40C66FF867C}">
                    <a14:compatExt spid="_x0000_s1275"/>
                  </a:ext>
                  <a:ext uri="{FF2B5EF4-FFF2-40B4-BE49-F238E27FC236}">
                    <a16:creationId xmlns:a16="http://schemas.microsoft.com/office/drawing/2014/main" id="{00000000-0008-0000-0000-0000FB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9525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escuderiamalena_ta@outlook.es" TargetMode="External"/><Relationship Id="rId1" Type="http://schemas.openxmlformats.org/officeDocument/2006/relationships/hyperlink" Target="mailto:info@103octano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127"/>
  <sheetViews>
    <sheetView showGridLines="0" showZeros="0" tabSelected="1" showOutlineSymbols="0" zoomScaleNormal="100" zoomScaleSheetLayoutView="100" workbookViewId="0">
      <selection activeCell="AI14" sqref="AI14"/>
    </sheetView>
  </sheetViews>
  <sheetFormatPr baseColWidth="10" defaultColWidth="0" defaultRowHeight="0" customHeight="1" zeroHeight="1" x14ac:dyDescent="0.2"/>
  <cols>
    <col min="1" max="1" width="6.7109375" style="46" customWidth="1"/>
    <col min="2" max="2" width="2.42578125" style="46" customWidth="1"/>
    <col min="3" max="3" width="4.7109375" style="46" customWidth="1"/>
    <col min="4" max="7" width="3.42578125" style="46" customWidth="1"/>
    <col min="8" max="8" width="4.42578125" style="46" customWidth="1"/>
    <col min="9" max="9" width="2.28515625" style="46" customWidth="1"/>
    <col min="10" max="10" width="3.42578125" style="46" customWidth="1"/>
    <col min="11" max="11" width="1.28515625" style="46" customWidth="1"/>
    <col min="12" max="12" width="7.28515625" style="46" customWidth="1"/>
    <col min="13" max="14" width="3.42578125" style="46" customWidth="1"/>
    <col min="15" max="15" width="2.7109375" style="46" customWidth="1"/>
    <col min="16" max="16" width="2" style="46" customWidth="1"/>
    <col min="17" max="17" width="3.7109375" style="46" customWidth="1"/>
    <col min="18" max="18" width="2" style="46" customWidth="1"/>
    <col min="19" max="19" width="1.140625" style="46" customWidth="1"/>
    <col min="20" max="21" width="2" style="46" customWidth="1"/>
    <col min="22" max="23" width="3.42578125" style="46" customWidth="1"/>
    <col min="24" max="24" width="4.7109375" style="46" customWidth="1"/>
    <col min="25" max="26" width="2.7109375" style="46" customWidth="1"/>
    <col min="27" max="27" width="3.28515625" style="46" customWidth="1"/>
    <col min="28" max="28" width="3.42578125" style="46" customWidth="1"/>
    <col min="29" max="29" width="2.7109375" style="46" customWidth="1"/>
    <col min="30" max="30" width="2" style="46" customWidth="1"/>
    <col min="31" max="31" width="3.42578125" style="46" customWidth="1"/>
    <col min="32" max="32" width="4.42578125" style="46" customWidth="1"/>
    <col min="33" max="33" width="3.42578125" style="46" customWidth="1"/>
    <col min="34" max="34" width="2.42578125" style="46" customWidth="1"/>
    <col min="35" max="35" width="6.42578125" style="46" customWidth="1"/>
    <col min="36" max="36" width="1.140625" style="46" hidden="1" customWidth="1"/>
    <col min="37" max="16384" width="11.42578125" style="46" hidden="1"/>
  </cols>
  <sheetData>
    <row r="1" spans="2:35" ht="5.0999999999999996" customHeight="1" x14ac:dyDescent="0.2"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46" t="s">
        <v>232</v>
      </c>
    </row>
    <row r="2" spans="2:35" s="47" customFormat="1" ht="3.75" customHeight="1" x14ac:dyDescent="0.2">
      <c r="B2" s="40"/>
      <c r="C2" s="41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3"/>
    </row>
    <row r="3" spans="2:35" s="47" customFormat="1" ht="21.75" customHeight="1" x14ac:dyDescent="0.2">
      <c r="B3" s="44"/>
      <c r="C3" s="299" t="s">
        <v>233</v>
      </c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45"/>
    </row>
    <row r="4" spans="2:35" s="47" customFormat="1" ht="12" customHeight="1" x14ac:dyDescent="0.2">
      <c r="B4" s="44"/>
      <c r="C4" s="48" t="s">
        <v>51</v>
      </c>
      <c r="D4" s="39" t="s">
        <v>50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45"/>
    </row>
    <row r="5" spans="2:35" s="47" customFormat="1" ht="12" customHeight="1" x14ac:dyDescent="0.2">
      <c r="B5" s="44"/>
      <c r="C5" s="48" t="s">
        <v>52</v>
      </c>
      <c r="D5" s="39" t="s">
        <v>182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45"/>
    </row>
    <row r="6" spans="2:35" s="47" customFormat="1" ht="24" customHeight="1" x14ac:dyDescent="0.2">
      <c r="B6" s="283" t="s">
        <v>183</v>
      </c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4"/>
      <c r="AD6" s="284"/>
      <c r="AE6" s="284"/>
      <c r="AF6" s="284"/>
      <c r="AG6" s="284"/>
      <c r="AH6" s="285"/>
    </row>
    <row r="7" spans="2:35" ht="5.0999999999999996" customHeight="1" x14ac:dyDescent="0.2">
      <c r="B7" s="49"/>
      <c r="C7" s="50"/>
      <c r="D7" s="51"/>
      <c r="E7" s="52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</row>
    <row r="8" spans="2:35" ht="12.75" customHeight="1" x14ac:dyDescent="0.15">
      <c r="B8" s="288" t="str">
        <f>Opcion</f>
        <v>ESTADO NORMAL (Todos los datos visibles)</v>
      </c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55"/>
      <c r="P8" s="49"/>
      <c r="Q8" s="290" t="s">
        <v>174</v>
      </c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2"/>
    </row>
    <row r="9" spans="2:35" s="47" customFormat="1" ht="12.75" customHeight="1" x14ac:dyDescent="0.2">
      <c r="B9" s="286" t="str">
        <f>Opcion2</f>
        <v>Active la casilla para imprimir un Boletín de Inscripción vacío</v>
      </c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53"/>
      <c r="Q9" s="293"/>
      <c r="R9" s="294"/>
      <c r="S9" s="294"/>
      <c r="T9" s="294"/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5"/>
    </row>
    <row r="10" spans="2:35" ht="9" customHeight="1" x14ac:dyDescent="0.2">
      <c r="B10" s="49"/>
      <c r="C10" s="50"/>
      <c r="D10" s="51"/>
      <c r="E10" s="52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</row>
    <row r="11" spans="2:35" ht="13.5" customHeight="1" x14ac:dyDescent="0.2">
      <c r="B11" s="9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86"/>
    </row>
    <row r="12" spans="2:35" ht="17.25" customHeight="1" x14ac:dyDescent="0.2">
      <c r="B12" s="22"/>
      <c r="C12" s="1"/>
      <c r="D12" s="1"/>
      <c r="E12" s="1"/>
      <c r="F12" s="1"/>
      <c r="G12" s="306">
        <f ca="1">NOW()</f>
        <v>45551.853393981481</v>
      </c>
      <c r="H12" s="306"/>
      <c r="I12" s="306"/>
      <c r="J12" s="306"/>
      <c r="K12" s="28"/>
      <c r="L12" s="307" t="s">
        <v>200</v>
      </c>
      <c r="M12" s="307"/>
      <c r="N12" s="307"/>
      <c r="O12" s="307"/>
      <c r="P12" s="307"/>
      <c r="Q12" s="307"/>
      <c r="R12" s="307"/>
      <c r="S12" s="307"/>
      <c r="T12" s="307"/>
      <c r="U12" s="307"/>
      <c r="V12" s="307"/>
      <c r="W12" s="307"/>
      <c r="X12" s="307"/>
      <c r="Y12" s="307"/>
      <c r="Z12" s="28"/>
      <c r="AA12" s="28"/>
      <c r="AB12" s="28"/>
      <c r="AC12" s="28"/>
      <c r="AD12" s="28"/>
      <c r="AE12" s="28"/>
      <c r="AF12" s="28"/>
      <c r="AG12" s="28"/>
      <c r="AH12" s="23"/>
    </row>
    <row r="13" spans="2:35" ht="3" customHeight="1" x14ac:dyDescent="0.2">
      <c r="B13" s="2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23"/>
    </row>
    <row r="14" spans="2:35" ht="16.5" customHeight="1" x14ac:dyDescent="0.2">
      <c r="B14" s="22"/>
      <c r="C14" s="1"/>
      <c r="D14" s="1"/>
      <c r="E14" s="1"/>
      <c r="F14" s="1"/>
      <c r="G14" s="28"/>
      <c r="H14" s="28"/>
      <c r="I14" s="28"/>
      <c r="J14" s="28"/>
      <c r="K14" s="28"/>
      <c r="L14" s="308" t="s">
        <v>361</v>
      </c>
      <c r="M14" s="308"/>
      <c r="N14" s="308"/>
      <c r="O14" s="308"/>
      <c r="P14" s="308"/>
      <c r="Q14" s="308"/>
      <c r="R14" s="308"/>
      <c r="S14" s="308"/>
      <c r="T14" s="308"/>
      <c r="U14" s="308"/>
      <c r="V14" s="308"/>
      <c r="W14" s="308"/>
      <c r="X14" s="308"/>
      <c r="Y14" s="308"/>
      <c r="Z14" s="28"/>
      <c r="AA14" s="28"/>
      <c r="AB14" s="28"/>
      <c r="AC14" s="28"/>
      <c r="AD14" s="28"/>
      <c r="AE14" s="28"/>
      <c r="AF14" s="28"/>
      <c r="AG14" s="28"/>
      <c r="AH14" s="23"/>
    </row>
    <row r="15" spans="2:35" ht="6.75" customHeight="1" x14ac:dyDescent="0.2">
      <c r="B15" s="22"/>
      <c r="C15" s="1"/>
      <c r="D15" s="1"/>
      <c r="E15" s="1"/>
      <c r="F15" s="1"/>
      <c r="G15" s="1"/>
      <c r="H15" s="77"/>
      <c r="I15" s="77"/>
      <c r="J15" s="77"/>
      <c r="K15" s="77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77"/>
      <c r="AA15" s="77"/>
      <c r="AB15" s="77"/>
      <c r="AC15" s="77"/>
      <c r="AD15" s="77"/>
      <c r="AE15" s="77"/>
      <c r="AF15" s="77"/>
      <c r="AG15" s="77"/>
      <c r="AH15" s="23"/>
    </row>
    <row r="16" spans="2:35" ht="2.25" customHeight="1" x14ac:dyDescent="0.2">
      <c r="B16" s="24">
        <v>3</v>
      </c>
      <c r="C16" s="1"/>
      <c r="D16" s="1"/>
      <c r="E16" s="1"/>
      <c r="F16" s="1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3"/>
    </row>
    <row r="17" spans="2:34" ht="12" customHeight="1" x14ac:dyDescent="0.2">
      <c r="B17" s="24"/>
      <c r="C17" s="296" t="s">
        <v>18</v>
      </c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8"/>
      <c r="Y17" s="65"/>
      <c r="Z17" s="296" t="s">
        <v>178</v>
      </c>
      <c r="AA17" s="297"/>
      <c r="AB17" s="297"/>
      <c r="AC17" s="297"/>
      <c r="AD17" s="297"/>
      <c r="AE17" s="297"/>
      <c r="AF17" s="297"/>
      <c r="AG17" s="298"/>
      <c r="AH17" s="23"/>
    </row>
    <row r="18" spans="2:34" ht="6" customHeight="1" x14ac:dyDescent="0.2">
      <c r="B18" s="24"/>
      <c r="C18" s="300" t="str">
        <f>IF(Blanco=TRUE,"",' Derechos de Inscripción '!B18)</f>
        <v>SLALOM JEREZ DEL MARQUESADO</v>
      </c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  <c r="S18" s="301"/>
      <c r="T18" s="301"/>
      <c r="U18" s="301"/>
      <c r="V18" s="301"/>
      <c r="W18" s="301"/>
      <c r="X18" s="302"/>
      <c r="Y18" s="65"/>
      <c r="Z18" s="309">
        <f>IF(Blanco=TRUE,"",' Derechos de Inscripción '!$D$16)</f>
        <v>45584</v>
      </c>
      <c r="AA18" s="310"/>
      <c r="AB18" s="310"/>
      <c r="AC18" s="310"/>
      <c r="AD18" s="310"/>
      <c r="AE18" s="310"/>
      <c r="AF18" s="310"/>
      <c r="AG18" s="311"/>
      <c r="AH18" s="23"/>
    </row>
    <row r="19" spans="2:34" ht="12" customHeight="1" x14ac:dyDescent="0.2">
      <c r="B19" s="24"/>
      <c r="C19" s="303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5"/>
      <c r="Y19" s="65"/>
      <c r="Z19" s="312"/>
      <c r="AA19" s="313"/>
      <c r="AB19" s="313"/>
      <c r="AC19" s="313"/>
      <c r="AD19" s="313"/>
      <c r="AE19" s="313"/>
      <c r="AF19" s="313"/>
      <c r="AG19" s="314"/>
      <c r="AH19" s="23"/>
    </row>
    <row r="20" spans="2:34" ht="6" customHeight="1" x14ac:dyDescent="0.2">
      <c r="B20" s="24"/>
      <c r="C20" s="1"/>
      <c r="D20" s="1"/>
      <c r="E20" s="1"/>
      <c r="F20" s="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1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23"/>
    </row>
    <row r="21" spans="2:34" ht="20.100000000000001" customHeight="1" x14ac:dyDescent="0.15">
      <c r="B21" s="22"/>
      <c r="C21" s="280" t="str">
        <f>IF(Blanco=TRUE,"",' Derechos de Inscripción '!D21)</f>
        <v>MC BALCON ALMANZORA</v>
      </c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2"/>
      <c r="Q21" s="1"/>
      <c r="R21" s="315" t="s">
        <v>169</v>
      </c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  <c r="AE21" s="316"/>
      <c r="AF21" s="316"/>
      <c r="AG21" s="317"/>
      <c r="AH21" s="23"/>
    </row>
    <row r="22" spans="2:34" ht="6.75" customHeight="1" x14ac:dyDescent="0.2">
      <c r="B22" s="22"/>
      <c r="C22" s="324" t="str">
        <f>IF(Blanco=TRUE,"",' Derechos de Inscripción '!D22)</f>
        <v>C/ GARCIA LORCA 41 2B</v>
      </c>
      <c r="D22" s="325"/>
      <c r="E22" s="325"/>
      <c r="F22" s="325"/>
      <c r="G22" s="325"/>
      <c r="H22" s="325"/>
      <c r="I22" s="325"/>
      <c r="J22" s="325"/>
      <c r="K22" s="325"/>
      <c r="L22" s="325"/>
      <c r="M22" s="325"/>
      <c r="N22" s="325"/>
      <c r="O22" s="325"/>
      <c r="P22" s="326"/>
      <c r="Q22" s="1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23"/>
    </row>
    <row r="23" spans="2:34" ht="6.75" customHeight="1" x14ac:dyDescent="0.2">
      <c r="B23" s="22"/>
      <c r="C23" s="324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N23" s="325"/>
      <c r="O23" s="325"/>
      <c r="P23" s="326"/>
      <c r="Q23" s="1"/>
      <c r="R23" s="327" t="s">
        <v>170</v>
      </c>
      <c r="S23" s="328"/>
      <c r="T23" s="328"/>
      <c r="U23" s="328"/>
      <c r="V23" s="328"/>
      <c r="W23" s="328"/>
      <c r="X23" s="328"/>
      <c r="Y23" s="328"/>
      <c r="Z23" s="329"/>
      <c r="AA23" s="376" t="s">
        <v>171</v>
      </c>
      <c r="AB23" s="377"/>
      <c r="AC23" s="377"/>
      <c r="AD23" s="378"/>
      <c r="AE23" s="327" t="s">
        <v>175</v>
      </c>
      <c r="AF23" s="328"/>
      <c r="AG23" s="329"/>
      <c r="AH23" s="23"/>
    </row>
    <row r="24" spans="2:34" ht="6.75" customHeight="1" x14ac:dyDescent="0.2">
      <c r="B24" s="22"/>
      <c r="C24" s="373" t="str">
        <f>IF(Blanco=TRUE,"",IF(TEXT(' Derechos de Inscripción '!D23,"00000")=" ","",TEXT(' Derechos de Inscripción '!D23,"00000")&amp;"-"&amp;' Derechos de Inscripción '!F23&amp;" "&amp;' Derechos de Inscripción '!D24))</f>
        <v>04867-MACAEL (ALMERIA)</v>
      </c>
      <c r="D24" s="374"/>
      <c r="E24" s="374"/>
      <c r="F24" s="374"/>
      <c r="G24" s="374"/>
      <c r="H24" s="374"/>
      <c r="I24" s="374"/>
      <c r="J24" s="374"/>
      <c r="K24" s="374"/>
      <c r="L24" s="374"/>
      <c r="M24" s="374"/>
      <c r="N24" s="374"/>
      <c r="O24" s="374"/>
      <c r="P24" s="375"/>
      <c r="Q24" s="1"/>
      <c r="R24" s="330"/>
      <c r="S24" s="331"/>
      <c r="T24" s="331"/>
      <c r="U24" s="331"/>
      <c r="V24" s="331"/>
      <c r="W24" s="331"/>
      <c r="X24" s="331"/>
      <c r="Y24" s="331"/>
      <c r="Z24" s="332"/>
      <c r="AA24" s="379"/>
      <c r="AB24" s="380"/>
      <c r="AC24" s="380"/>
      <c r="AD24" s="381"/>
      <c r="AE24" s="330"/>
      <c r="AF24" s="331"/>
      <c r="AG24" s="332"/>
      <c r="AH24" s="23"/>
    </row>
    <row r="25" spans="2:34" ht="6.75" customHeight="1" x14ac:dyDescent="0.2">
      <c r="B25" s="22"/>
      <c r="C25" s="373"/>
      <c r="D25" s="374"/>
      <c r="E25" s="374"/>
      <c r="F25" s="374"/>
      <c r="G25" s="374"/>
      <c r="H25" s="374"/>
      <c r="I25" s="374"/>
      <c r="J25" s="374"/>
      <c r="K25" s="374"/>
      <c r="L25" s="374"/>
      <c r="M25" s="374"/>
      <c r="N25" s="374"/>
      <c r="O25" s="374"/>
      <c r="P25" s="375"/>
      <c r="Q25" s="1"/>
      <c r="R25" s="346" t="s">
        <v>172</v>
      </c>
      <c r="S25" s="347"/>
      <c r="T25" s="347"/>
      <c r="U25" s="347"/>
      <c r="V25" s="367"/>
      <c r="W25" s="367"/>
      <c r="X25" s="367"/>
      <c r="Y25" s="367"/>
      <c r="Z25" s="368"/>
      <c r="AA25" s="352"/>
      <c r="AB25" s="353"/>
      <c r="AC25" s="353"/>
      <c r="AD25" s="354"/>
      <c r="AE25" s="333"/>
      <c r="AF25" s="334"/>
      <c r="AG25" s="335"/>
      <c r="AH25" s="23"/>
    </row>
    <row r="26" spans="2:34" ht="6.75" customHeight="1" x14ac:dyDescent="0.2">
      <c r="B26" s="22"/>
      <c r="C26" s="324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630046673 - FAX: 0</v>
      </c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N26" s="325"/>
      <c r="O26" s="325"/>
      <c r="P26" s="326"/>
      <c r="Q26" s="1"/>
      <c r="R26" s="348"/>
      <c r="S26" s="349"/>
      <c r="T26" s="349"/>
      <c r="U26" s="349"/>
      <c r="V26" s="369"/>
      <c r="W26" s="369"/>
      <c r="X26" s="369"/>
      <c r="Y26" s="369"/>
      <c r="Z26" s="370"/>
      <c r="AA26" s="333"/>
      <c r="AB26" s="334"/>
      <c r="AC26" s="334"/>
      <c r="AD26" s="335"/>
      <c r="AE26" s="333"/>
      <c r="AF26" s="334"/>
      <c r="AG26" s="335"/>
      <c r="AH26" s="23"/>
    </row>
    <row r="27" spans="2:34" ht="6.75" customHeight="1" x14ac:dyDescent="0.2">
      <c r="B27" s="22"/>
      <c r="C27" s="324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N27" s="325"/>
      <c r="O27" s="325"/>
      <c r="P27" s="326"/>
      <c r="Q27" s="1"/>
      <c r="R27" s="350"/>
      <c r="S27" s="351"/>
      <c r="T27" s="351"/>
      <c r="U27" s="351"/>
      <c r="V27" s="371"/>
      <c r="W27" s="371"/>
      <c r="X27" s="371"/>
      <c r="Y27" s="371"/>
      <c r="Z27" s="372"/>
      <c r="AA27" s="333"/>
      <c r="AB27" s="334"/>
      <c r="AC27" s="334"/>
      <c r="AD27" s="335"/>
      <c r="AE27" s="333"/>
      <c r="AF27" s="334"/>
      <c r="AG27" s="335"/>
      <c r="AH27" s="23"/>
    </row>
    <row r="28" spans="2:34" ht="6.75" customHeight="1" x14ac:dyDescent="0.2">
      <c r="B28" s="22"/>
      <c r="C28" s="355" t="str">
        <f>IF(Blanco=TRUE,"","e_mail: " &amp; ' Derechos de Inscripción '!H25)</f>
        <v>e_mail: inscripciones@faa.net</v>
      </c>
      <c r="D28" s="356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O28" s="356"/>
      <c r="P28" s="357"/>
      <c r="Q28" s="1"/>
      <c r="R28" s="361" t="s">
        <v>173</v>
      </c>
      <c r="S28" s="362"/>
      <c r="T28" s="362"/>
      <c r="U28" s="362"/>
      <c r="V28" s="339"/>
      <c r="W28" s="340"/>
      <c r="X28" s="340"/>
      <c r="Y28" s="340"/>
      <c r="Z28" s="341"/>
      <c r="AA28" s="333"/>
      <c r="AB28" s="334"/>
      <c r="AC28" s="334"/>
      <c r="AD28" s="335"/>
      <c r="AE28" s="333"/>
      <c r="AF28" s="334"/>
      <c r="AG28" s="335"/>
      <c r="AH28" s="23"/>
    </row>
    <row r="29" spans="2:34" ht="6" customHeight="1" x14ac:dyDescent="0.2">
      <c r="B29" s="22"/>
      <c r="C29" s="355"/>
      <c r="D29" s="356"/>
      <c r="E29" s="356"/>
      <c r="F29" s="356"/>
      <c r="G29" s="356"/>
      <c r="H29" s="356"/>
      <c r="I29" s="356"/>
      <c r="J29" s="356"/>
      <c r="K29" s="356"/>
      <c r="L29" s="356"/>
      <c r="M29" s="356"/>
      <c r="N29" s="356"/>
      <c r="O29" s="356"/>
      <c r="P29" s="357"/>
      <c r="Q29" s="1"/>
      <c r="R29" s="363"/>
      <c r="S29" s="364"/>
      <c r="T29" s="364"/>
      <c r="U29" s="364"/>
      <c r="V29" s="342"/>
      <c r="W29" s="342"/>
      <c r="X29" s="342"/>
      <c r="Y29" s="342"/>
      <c r="Z29" s="343"/>
      <c r="AA29" s="333"/>
      <c r="AB29" s="334"/>
      <c r="AC29" s="334"/>
      <c r="AD29" s="335"/>
      <c r="AE29" s="333"/>
      <c r="AF29" s="334"/>
      <c r="AG29" s="335"/>
      <c r="AH29" s="23"/>
    </row>
    <row r="30" spans="2:34" ht="6" customHeight="1" x14ac:dyDescent="0.2">
      <c r="B30" s="22"/>
      <c r="C30" s="358"/>
      <c r="D30" s="359"/>
      <c r="E30" s="359"/>
      <c r="F30" s="359"/>
      <c r="G30" s="359"/>
      <c r="H30" s="359"/>
      <c r="I30" s="359"/>
      <c r="J30" s="359"/>
      <c r="K30" s="359"/>
      <c r="L30" s="359"/>
      <c r="M30" s="359"/>
      <c r="N30" s="359"/>
      <c r="O30" s="359"/>
      <c r="P30" s="360"/>
      <c r="Q30" s="1"/>
      <c r="R30" s="365"/>
      <c r="S30" s="366"/>
      <c r="T30" s="366"/>
      <c r="U30" s="366"/>
      <c r="V30" s="344"/>
      <c r="W30" s="344"/>
      <c r="X30" s="344"/>
      <c r="Y30" s="344"/>
      <c r="Z30" s="345"/>
      <c r="AA30" s="336"/>
      <c r="AB30" s="337"/>
      <c r="AC30" s="337"/>
      <c r="AD30" s="338"/>
      <c r="AE30" s="336"/>
      <c r="AF30" s="337"/>
      <c r="AG30" s="338"/>
      <c r="AH30" s="23"/>
    </row>
    <row r="31" spans="2:34" ht="3.75" customHeight="1" x14ac:dyDescent="0.2">
      <c r="B31" s="2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23"/>
    </row>
    <row r="32" spans="2:34" ht="20.100000000000001" customHeight="1" x14ac:dyDescent="0.2">
      <c r="B32" s="22"/>
      <c r="C32" s="240" t="s">
        <v>0</v>
      </c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2"/>
      <c r="AH32" s="23"/>
    </row>
    <row r="33" spans="2:34" ht="3.75" customHeight="1" x14ac:dyDescent="0.2">
      <c r="B33" s="22"/>
      <c r="C33" s="8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23"/>
    </row>
    <row r="34" spans="2:34" ht="3.75" customHeight="1" x14ac:dyDescent="0.2">
      <c r="B34" s="2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23"/>
    </row>
    <row r="35" spans="2:34" ht="12" customHeight="1" x14ac:dyDescent="0.2">
      <c r="B35" s="22"/>
      <c r="C35" s="389" t="s">
        <v>176</v>
      </c>
      <c r="D35" s="11" t="s">
        <v>54</v>
      </c>
      <c r="E35" s="2"/>
      <c r="F35" s="2"/>
      <c r="G35" s="2"/>
      <c r="H35" s="2"/>
      <c r="I35" s="2"/>
      <c r="J35" s="2"/>
      <c r="K35" s="2"/>
      <c r="L35" s="54" t="s">
        <v>55</v>
      </c>
      <c r="M35" s="2"/>
      <c r="N35" s="2"/>
      <c r="O35" s="2"/>
      <c r="P35" s="2"/>
      <c r="Q35" s="12"/>
      <c r="R35" s="2"/>
      <c r="S35" s="2"/>
      <c r="T35" s="2"/>
      <c r="U35" s="3"/>
      <c r="V35" s="54" t="s">
        <v>1</v>
      </c>
      <c r="W35" s="2"/>
      <c r="X35" s="2"/>
      <c r="Y35" s="2"/>
      <c r="Z35" s="2"/>
      <c r="AA35" s="2"/>
      <c r="AB35" s="2"/>
      <c r="AC35" s="2"/>
      <c r="AD35" s="2"/>
      <c r="AE35" s="2"/>
      <c r="AF35" s="392" t="s">
        <v>301</v>
      </c>
      <c r="AG35" s="393"/>
      <c r="AH35" s="23"/>
    </row>
    <row r="36" spans="2:34" ht="18" customHeight="1" x14ac:dyDescent="0.2">
      <c r="B36" s="22"/>
      <c r="C36" s="390"/>
      <c r="D36" s="387"/>
      <c r="E36" s="388"/>
      <c r="F36" s="388"/>
      <c r="G36" s="388"/>
      <c r="H36" s="388"/>
      <c r="I36" s="388"/>
      <c r="J36" s="388"/>
      <c r="K36" s="388"/>
      <c r="L36" s="269"/>
      <c r="M36" s="270"/>
      <c r="N36" s="270"/>
      <c r="O36" s="270"/>
      <c r="P36" s="270"/>
      <c r="Q36" s="270"/>
      <c r="R36" s="270"/>
      <c r="S36" s="270"/>
      <c r="T36" s="270"/>
      <c r="U36" s="271"/>
      <c r="V36" s="269"/>
      <c r="W36" s="270"/>
      <c r="X36" s="270"/>
      <c r="Y36" s="270"/>
      <c r="Z36" s="270"/>
      <c r="AA36" s="270"/>
      <c r="AB36" s="270"/>
      <c r="AC36" s="270"/>
      <c r="AD36" s="270"/>
      <c r="AE36" s="270"/>
      <c r="AF36" s="269"/>
      <c r="AG36" s="277"/>
      <c r="AH36" s="23"/>
    </row>
    <row r="37" spans="2:34" ht="12" customHeight="1" x14ac:dyDescent="0.2">
      <c r="B37" s="22"/>
      <c r="C37" s="390"/>
      <c r="D37" s="4" t="s">
        <v>2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5"/>
      <c r="Q37" s="6" t="s">
        <v>3</v>
      </c>
      <c r="R37" s="6"/>
      <c r="S37" s="6"/>
      <c r="T37" s="6"/>
      <c r="U37" s="7"/>
      <c r="V37" s="8" t="s">
        <v>4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10"/>
      <c r="AH37" s="23"/>
    </row>
    <row r="38" spans="2:34" ht="18" customHeight="1" x14ac:dyDescent="0.2">
      <c r="B38" s="22"/>
      <c r="C38" s="390"/>
      <c r="D38" s="384"/>
      <c r="E38" s="319"/>
      <c r="F38" s="319"/>
      <c r="G38" s="319"/>
      <c r="H38" s="319"/>
      <c r="I38" s="319"/>
      <c r="J38" s="319"/>
      <c r="K38" s="319"/>
      <c r="L38" s="319"/>
      <c r="M38" s="319"/>
      <c r="N38" s="319"/>
      <c r="O38" s="319"/>
      <c r="P38" s="383"/>
      <c r="Q38" s="237"/>
      <c r="R38" s="237"/>
      <c r="S38" s="237"/>
      <c r="T38" s="237"/>
      <c r="U38" s="386"/>
      <c r="V38" s="318"/>
      <c r="W38" s="319"/>
      <c r="X38" s="319"/>
      <c r="Y38" s="319"/>
      <c r="Z38" s="319"/>
      <c r="AA38" s="319"/>
      <c r="AB38" s="319"/>
      <c r="AC38" s="319"/>
      <c r="AD38" s="319"/>
      <c r="AE38" s="319"/>
      <c r="AF38" s="319"/>
      <c r="AG38" s="320"/>
      <c r="AH38" s="23"/>
    </row>
    <row r="39" spans="2:34" ht="15" customHeight="1" x14ac:dyDescent="0.2">
      <c r="B39" s="22"/>
      <c r="C39" s="390"/>
      <c r="D39" s="15" t="s">
        <v>5</v>
      </c>
      <c r="E39" s="16"/>
      <c r="F39" s="16"/>
      <c r="G39" s="16"/>
      <c r="H39" s="16"/>
      <c r="I39" s="7"/>
      <c r="J39" s="6" t="s">
        <v>6</v>
      </c>
      <c r="K39" s="16"/>
      <c r="L39" s="16"/>
      <c r="M39" s="16"/>
      <c r="N39" s="16"/>
      <c r="O39" s="16"/>
      <c r="P39" s="7"/>
      <c r="Q39" s="6" t="s">
        <v>177</v>
      </c>
      <c r="R39" s="16"/>
      <c r="S39" s="16"/>
      <c r="T39" s="16"/>
      <c r="U39" s="16"/>
      <c r="V39" s="16"/>
      <c r="W39" s="16"/>
      <c r="X39" s="16"/>
      <c r="Y39" s="8" t="s">
        <v>7</v>
      </c>
      <c r="Z39" s="6"/>
      <c r="AA39" s="16"/>
      <c r="AB39" s="16"/>
      <c r="AC39" s="7"/>
      <c r="AD39" s="258" t="s">
        <v>239</v>
      </c>
      <c r="AE39" s="259"/>
      <c r="AF39" s="259"/>
      <c r="AG39" s="385"/>
      <c r="AH39" s="23"/>
    </row>
    <row r="40" spans="2:34" ht="18" customHeight="1" x14ac:dyDescent="0.2">
      <c r="B40" s="22"/>
      <c r="C40" s="390"/>
      <c r="D40" s="395"/>
      <c r="E40" s="396"/>
      <c r="F40" s="396"/>
      <c r="G40" s="396"/>
      <c r="H40" s="396"/>
      <c r="I40" s="397"/>
      <c r="J40" s="318"/>
      <c r="K40" s="319"/>
      <c r="L40" s="319"/>
      <c r="M40" s="319"/>
      <c r="N40" s="319"/>
      <c r="O40" s="319"/>
      <c r="P40" s="383"/>
      <c r="Q40" s="318"/>
      <c r="R40" s="319"/>
      <c r="S40" s="319"/>
      <c r="T40" s="319"/>
      <c r="U40" s="319"/>
      <c r="V40" s="319"/>
      <c r="W40" s="319"/>
      <c r="X40" s="319"/>
      <c r="Y40" s="318"/>
      <c r="Z40" s="319"/>
      <c r="AA40" s="319"/>
      <c r="AB40" s="319"/>
      <c r="AC40" s="319"/>
      <c r="AD40" s="394"/>
      <c r="AE40" s="394"/>
      <c r="AF40" s="394"/>
      <c r="AG40" s="101" t="str">
        <f>IF($AD$40="","",(IF($AD$40&gt;=AG72,"JR","")))</f>
        <v/>
      </c>
      <c r="AH40" s="23"/>
    </row>
    <row r="41" spans="2:34" ht="15" customHeight="1" x14ac:dyDescent="0.2">
      <c r="B41" s="22"/>
      <c r="C41" s="390"/>
      <c r="D41" s="4" t="s">
        <v>8</v>
      </c>
      <c r="E41" s="1"/>
      <c r="F41" s="1"/>
      <c r="G41" s="1"/>
      <c r="H41" s="5"/>
      <c r="I41" s="17" t="s">
        <v>8</v>
      </c>
      <c r="J41" s="1"/>
      <c r="K41" s="1"/>
      <c r="L41" s="1"/>
      <c r="M41" s="5"/>
      <c r="N41" s="17" t="s">
        <v>9</v>
      </c>
      <c r="O41" s="1"/>
      <c r="P41" s="1"/>
      <c r="Q41" s="1"/>
      <c r="R41" s="1"/>
      <c r="S41" s="1"/>
      <c r="T41" s="1"/>
      <c r="U41" s="5"/>
      <c r="V41" s="13" t="s">
        <v>10</v>
      </c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4"/>
      <c r="AH41" s="23"/>
    </row>
    <row r="42" spans="2:34" ht="18" customHeight="1" x14ac:dyDescent="0.2">
      <c r="B42" s="22"/>
      <c r="C42" s="391"/>
      <c r="D42" s="382"/>
      <c r="E42" s="322"/>
      <c r="F42" s="322"/>
      <c r="G42" s="322"/>
      <c r="H42" s="323"/>
      <c r="I42" s="321"/>
      <c r="J42" s="322"/>
      <c r="K42" s="322"/>
      <c r="L42" s="322"/>
      <c r="M42" s="323"/>
      <c r="N42" s="321"/>
      <c r="O42" s="322"/>
      <c r="P42" s="322"/>
      <c r="Q42" s="322"/>
      <c r="R42" s="322"/>
      <c r="S42" s="322"/>
      <c r="T42" s="322"/>
      <c r="U42" s="323"/>
      <c r="V42" s="249"/>
      <c r="W42" s="250"/>
      <c r="X42" s="250"/>
      <c r="Y42" s="250"/>
      <c r="Z42" s="250"/>
      <c r="AA42" s="250"/>
      <c r="AB42" s="250"/>
      <c r="AC42" s="250"/>
      <c r="AD42" s="250"/>
      <c r="AE42" s="250"/>
      <c r="AF42" s="250"/>
      <c r="AG42" s="251"/>
      <c r="AH42" s="23"/>
    </row>
    <row r="43" spans="2:34" ht="3.75" customHeight="1" x14ac:dyDescent="0.2"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23"/>
    </row>
    <row r="44" spans="2:34" ht="20.100000000000001" customHeight="1" x14ac:dyDescent="0.2">
      <c r="B44" s="22"/>
      <c r="C44" s="240" t="s">
        <v>11</v>
      </c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2"/>
      <c r="AH44" s="23"/>
    </row>
    <row r="45" spans="2:34" ht="3" customHeight="1" x14ac:dyDescent="0.2">
      <c r="B45" s="2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23"/>
    </row>
    <row r="46" spans="2:34" ht="11.25" customHeight="1" x14ac:dyDescent="0.2">
      <c r="B46" s="22"/>
      <c r="C46" s="11" t="s">
        <v>104</v>
      </c>
      <c r="D46" s="2"/>
      <c r="E46" s="2"/>
      <c r="F46" s="2"/>
      <c r="G46" s="2"/>
      <c r="H46" s="64"/>
      <c r="I46" s="67"/>
      <c r="J46" s="71" t="s">
        <v>195</v>
      </c>
      <c r="K46" s="70"/>
      <c r="L46" s="70"/>
      <c r="M46" s="70"/>
      <c r="N46" s="70"/>
      <c r="O46" s="70"/>
      <c r="P46" s="70"/>
      <c r="Q46" s="263" t="s">
        <v>221</v>
      </c>
      <c r="R46" s="264"/>
      <c r="S46" s="264"/>
      <c r="T46" s="264"/>
      <c r="U46" s="264"/>
      <c r="V46" s="264"/>
      <c r="W46" s="264"/>
      <c r="X46" s="264"/>
      <c r="Y46" s="264"/>
      <c r="Z46" s="264"/>
      <c r="AA46" s="264"/>
      <c r="AB46" s="264"/>
      <c r="AC46" s="264"/>
      <c r="AD46" s="264"/>
      <c r="AE46" s="264"/>
      <c r="AF46" s="264"/>
      <c r="AG46" s="265"/>
      <c r="AH46" s="23"/>
    </row>
    <row r="47" spans="2:34" ht="18.75" customHeight="1" x14ac:dyDescent="0.2">
      <c r="B47" s="95"/>
      <c r="C47" s="252"/>
      <c r="D47" s="252"/>
      <c r="E47" s="252"/>
      <c r="F47" s="252"/>
      <c r="G47" s="252"/>
      <c r="H47" s="252"/>
      <c r="I47" s="253"/>
      <c r="J47" s="269"/>
      <c r="K47" s="270"/>
      <c r="L47" s="270"/>
      <c r="M47" s="270"/>
      <c r="N47" s="270"/>
      <c r="O47" s="270"/>
      <c r="P47" s="277"/>
      <c r="Q47" s="275">
        <f>VLOOKUP(' Datos de Organizadores '!P31,' Datos de Organizadores '!Q28:T39,2)</f>
        <v>0</v>
      </c>
      <c r="R47" s="276"/>
      <c r="S47" s="276"/>
      <c r="T47" s="276"/>
      <c r="U47" s="276"/>
      <c r="V47" s="276"/>
      <c r="W47" s="276"/>
      <c r="X47" s="276"/>
      <c r="Y47" s="276"/>
      <c r="Z47" s="276"/>
      <c r="AA47" s="254" t="str">
        <f>IF(Q51="H",VLOOKUP(' Datos de Organizadores '!W29,' Datos de Organizadores '!V30:X40,3)," ")</f>
        <v xml:space="preserve"> </v>
      </c>
      <c r="AB47" s="254"/>
      <c r="AC47" s="254"/>
      <c r="AD47" s="254"/>
      <c r="AE47" s="254"/>
      <c r="AF47" s="254"/>
      <c r="AG47" s="254"/>
      <c r="AH47" s="23"/>
    </row>
    <row r="48" spans="2:34" ht="18.75" customHeight="1" x14ac:dyDescent="0.2">
      <c r="B48" s="22"/>
      <c r="C48" s="4" t="s">
        <v>105</v>
      </c>
      <c r="D48" s="1"/>
      <c r="E48" s="1"/>
      <c r="F48" s="1"/>
      <c r="G48" s="1"/>
      <c r="H48" s="66"/>
      <c r="I48" s="68"/>
      <c r="J48" s="258" t="s">
        <v>215</v>
      </c>
      <c r="K48" s="259"/>
      <c r="L48" s="259"/>
      <c r="M48" s="260"/>
      <c r="N48" s="267" t="s">
        <v>196</v>
      </c>
      <c r="O48" s="267"/>
      <c r="P48" s="268"/>
      <c r="Q48" s="402" t="str">
        <f>IF(Campeonato=2,"",IF(Grupo=1,"",AGRUP))</f>
        <v/>
      </c>
      <c r="R48" s="403"/>
      <c r="S48" s="403"/>
      <c r="T48" s="403"/>
      <c r="U48" s="403"/>
      <c r="V48" s="403"/>
      <c r="W48" s="403"/>
      <c r="X48" s="403"/>
      <c r="Y48" s="403"/>
      <c r="Z48" s="404"/>
      <c r="AA48" s="278" t="s">
        <v>307</v>
      </c>
      <c r="AB48" s="278"/>
      <c r="AC48" s="278"/>
      <c r="AD48" s="278"/>
      <c r="AE48" s="278"/>
      <c r="AF48" s="278"/>
      <c r="AG48" s="278"/>
      <c r="AH48" s="23"/>
    </row>
    <row r="49" spans="2:34" ht="18" customHeight="1" x14ac:dyDescent="0.2">
      <c r="B49" s="95"/>
      <c r="C49" s="252"/>
      <c r="D49" s="252"/>
      <c r="E49" s="252"/>
      <c r="F49" s="252"/>
      <c r="G49" s="252"/>
      <c r="H49" s="252"/>
      <c r="I49" s="253"/>
      <c r="J49" s="269"/>
      <c r="K49" s="270"/>
      <c r="L49" s="270"/>
      <c r="M49" s="271"/>
      <c r="N49" s="270"/>
      <c r="O49" s="270"/>
      <c r="P49" s="277"/>
      <c r="Q49" s="405"/>
      <c r="R49" s="406"/>
      <c r="S49" s="406"/>
      <c r="T49" s="406"/>
      <c r="U49" s="406"/>
      <c r="V49" s="406"/>
      <c r="W49" s="406"/>
      <c r="X49" s="406"/>
      <c r="Y49" s="406"/>
      <c r="Z49" s="407"/>
      <c r="AA49" s="398"/>
      <c r="AB49" s="399"/>
      <c r="AC49" s="399"/>
      <c r="AD49" s="399"/>
      <c r="AE49" s="399"/>
      <c r="AF49" s="399"/>
      <c r="AG49" s="400"/>
      <c r="AH49" s="23"/>
    </row>
    <row r="50" spans="2:34" ht="15" customHeight="1" x14ac:dyDescent="0.2">
      <c r="B50" s="22"/>
      <c r="C50" s="272" t="s">
        <v>107</v>
      </c>
      <c r="D50" s="273"/>
      <c r="E50" s="272" t="s">
        <v>106</v>
      </c>
      <c r="F50" s="274"/>
      <c r="G50" s="274"/>
      <c r="H50" s="274"/>
      <c r="I50" s="273"/>
      <c r="J50" s="182" t="s">
        <v>202</v>
      </c>
      <c r="K50" s="183"/>
      <c r="L50" s="183"/>
      <c r="M50" s="1"/>
      <c r="N50" s="261"/>
      <c r="O50" s="261"/>
      <c r="P50" s="262"/>
      <c r="Q50" s="256" t="s">
        <v>12</v>
      </c>
      <c r="R50" s="256"/>
      <c r="S50" s="256"/>
      <c r="T50" s="256"/>
      <c r="U50" s="256"/>
      <c r="V50" s="266"/>
      <c r="W50" s="401" t="s">
        <v>206</v>
      </c>
      <c r="X50" s="256"/>
      <c r="Y50" s="256"/>
      <c r="Z50" s="257"/>
      <c r="AA50" s="255" t="s">
        <v>306</v>
      </c>
      <c r="AB50" s="256"/>
      <c r="AC50" s="256"/>
      <c r="AD50" s="256"/>
      <c r="AE50" s="256"/>
      <c r="AF50" s="256"/>
      <c r="AG50" s="257"/>
      <c r="AH50" s="23"/>
    </row>
    <row r="51" spans="2:34" ht="18" customHeight="1" x14ac:dyDescent="0.2">
      <c r="B51" s="95"/>
      <c r="C51" s="239"/>
      <c r="D51" s="238"/>
      <c r="E51" s="237"/>
      <c r="F51" s="237"/>
      <c r="G51" s="237"/>
      <c r="H51" s="237"/>
      <c r="I51" s="238"/>
      <c r="J51" s="102"/>
      <c r="K51" s="103"/>
      <c r="L51" s="103"/>
      <c r="M51" s="103"/>
      <c r="N51" s="103"/>
      <c r="O51" s="103"/>
      <c r="P51" s="104"/>
      <c r="Q51" s="210" t="str">
        <f>IF(Campeonato=2,"",IF(Grupo=1,"",' Datos de Organizadores '!Q31))</f>
        <v/>
      </c>
      <c r="R51" s="211"/>
      <c r="S51" s="211"/>
      <c r="T51" s="211"/>
      <c r="U51" s="211"/>
      <c r="V51" s="212"/>
      <c r="W51" s="197" t="str">
        <f>CLASE</f>
        <v/>
      </c>
      <c r="X51" s="198"/>
      <c r="Y51" s="198"/>
      <c r="Z51" s="199"/>
      <c r="AA51" s="117"/>
      <c r="AB51" s="118"/>
      <c r="AC51" s="119"/>
      <c r="AD51" s="119"/>
      <c r="AE51" s="119"/>
      <c r="AF51" s="119"/>
      <c r="AG51" s="120"/>
      <c r="AH51" s="23"/>
    </row>
    <row r="52" spans="2:34" ht="15" customHeight="1" x14ac:dyDescent="0.2">
      <c r="B52" s="95"/>
      <c r="C52" s="96" t="s">
        <v>201</v>
      </c>
      <c r="D52" s="16"/>
      <c r="E52" s="16"/>
      <c r="F52" s="16"/>
      <c r="G52" s="16"/>
      <c r="H52" s="72"/>
      <c r="I52" s="69"/>
      <c r="J52" s="8" t="s">
        <v>240</v>
      </c>
      <c r="K52" s="1"/>
      <c r="L52" s="1"/>
      <c r="M52" s="1"/>
      <c r="N52" s="1"/>
      <c r="O52" s="66"/>
      <c r="P52" s="94"/>
      <c r="Q52" s="213"/>
      <c r="R52" s="214"/>
      <c r="S52" s="214"/>
      <c r="T52" s="214"/>
      <c r="U52" s="214"/>
      <c r="V52" s="215"/>
      <c r="W52" s="200"/>
      <c r="X52" s="200"/>
      <c r="Y52" s="200"/>
      <c r="Z52" s="201"/>
      <c r="AA52" s="117"/>
      <c r="AB52" s="121"/>
      <c r="AC52" s="122"/>
      <c r="AD52" s="123"/>
      <c r="AE52" s="123"/>
      <c r="AF52" s="123"/>
      <c r="AG52" s="124"/>
      <c r="AH52" s="23"/>
    </row>
    <row r="53" spans="2:34" ht="11.25" x14ac:dyDescent="0.2">
      <c r="B53" s="22"/>
      <c r="C53" s="207">
        <f>IF(Turbo=2,VALUE(CILINDRADA),ROUND(VALUE(CILINDRADA)*1.7,0))</f>
        <v>0</v>
      </c>
      <c r="D53" s="208"/>
      <c r="E53" s="208"/>
      <c r="F53" s="208"/>
      <c r="G53" s="208"/>
      <c r="H53" s="208"/>
      <c r="I53" s="209"/>
      <c r="J53" s="204"/>
      <c r="K53" s="205"/>
      <c r="L53" s="205"/>
      <c r="M53" s="205"/>
      <c r="N53" s="205"/>
      <c r="O53" s="205"/>
      <c r="P53" s="206"/>
      <c r="Q53" s="216"/>
      <c r="R53" s="217"/>
      <c r="S53" s="217"/>
      <c r="T53" s="217"/>
      <c r="U53" s="217"/>
      <c r="V53" s="218"/>
      <c r="W53" s="202"/>
      <c r="X53" s="202"/>
      <c r="Y53" s="202"/>
      <c r="Z53" s="203"/>
      <c r="AA53" s="125"/>
      <c r="AB53" s="126"/>
      <c r="AC53" s="126"/>
      <c r="AD53" s="126"/>
      <c r="AE53" s="126"/>
      <c r="AF53" s="126"/>
      <c r="AG53" s="127"/>
      <c r="AH53" s="23"/>
    </row>
    <row r="54" spans="2:34" ht="3.95" customHeight="1" x14ac:dyDescent="0.2">
      <c r="B54" s="22"/>
      <c r="C54" s="2"/>
      <c r="D54" s="59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196"/>
      <c r="AC54" s="196"/>
      <c r="AD54" s="196"/>
      <c r="AE54" s="196"/>
      <c r="AF54" s="196"/>
      <c r="AG54" s="196"/>
      <c r="AH54" s="23"/>
    </row>
    <row r="55" spans="2:34" ht="20.100000000000001" customHeight="1" x14ac:dyDescent="0.2">
      <c r="B55" s="22"/>
      <c r="C55" s="240" t="s">
        <v>362</v>
      </c>
      <c r="D55" s="241"/>
      <c r="E55" s="241"/>
      <c r="F55" s="241"/>
      <c r="G55" s="241"/>
      <c r="H55" s="241"/>
      <c r="I55" s="241"/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2"/>
      <c r="AH55" s="23"/>
    </row>
    <row r="56" spans="2:34" ht="3" customHeight="1" x14ac:dyDescent="0.2">
      <c r="B56" s="2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23"/>
    </row>
    <row r="57" spans="2:34" ht="9" customHeight="1" x14ac:dyDescent="0.2">
      <c r="B57" s="22"/>
      <c r="C57" s="243" t="s">
        <v>363</v>
      </c>
      <c r="D57" s="245">
        <v>45583</v>
      </c>
      <c r="E57" s="245"/>
      <c r="F57" s="246"/>
      <c r="G57" s="408" t="s">
        <v>364</v>
      </c>
      <c r="H57" s="409"/>
      <c r="I57" s="409"/>
      <c r="J57" s="410"/>
      <c r="K57" s="414" t="s">
        <v>365</v>
      </c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6"/>
      <c r="AC57" s="420" t="s">
        <v>366</v>
      </c>
      <c r="AD57" s="421"/>
      <c r="AE57" s="421"/>
      <c r="AF57" s="421"/>
      <c r="AG57" s="422"/>
      <c r="AH57" s="23"/>
    </row>
    <row r="58" spans="2:34" ht="6" customHeight="1" x14ac:dyDescent="0.2">
      <c r="B58" s="22"/>
      <c r="C58" s="244"/>
      <c r="D58" s="247"/>
      <c r="E58" s="247"/>
      <c r="F58" s="248"/>
      <c r="G58" s="411"/>
      <c r="H58" s="412"/>
      <c r="I58" s="412"/>
      <c r="J58" s="413"/>
      <c r="K58" s="417"/>
      <c r="L58" s="418"/>
      <c r="M58" s="418"/>
      <c r="N58" s="418"/>
      <c r="O58" s="418"/>
      <c r="P58" s="418"/>
      <c r="Q58" s="418"/>
      <c r="R58" s="418"/>
      <c r="S58" s="418"/>
      <c r="T58" s="418"/>
      <c r="U58" s="418"/>
      <c r="V58" s="418"/>
      <c r="W58" s="418"/>
      <c r="X58" s="418"/>
      <c r="Y58" s="418"/>
      <c r="Z58" s="418"/>
      <c r="AA58" s="418"/>
      <c r="AB58" s="419"/>
      <c r="AC58" s="423"/>
      <c r="AD58" s="424"/>
      <c r="AE58" s="424"/>
      <c r="AF58" s="424"/>
      <c r="AG58" s="425"/>
      <c r="AH58" s="23"/>
    </row>
    <row r="59" spans="2:34" ht="3" hidden="1" customHeight="1" x14ac:dyDescent="0.2">
      <c r="B59" s="22"/>
      <c r="C59" s="187"/>
      <c r="D59" s="1"/>
      <c r="E59" s="1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88"/>
      <c r="AD59" s="1"/>
      <c r="AE59" s="1"/>
      <c r="AF59" s="1"/>
      <c r="AG59" s="14"/>
      <c r="AH59" s="23"/>
    </row>
    <row r="60" spans="2:34" ht="3" customHeight="1" x14ac:dyDescent="0.2">
      <c r="B60" s="22"/>
      <c r="C60" s="426">
        <f>' Derechos de Inscripción '!J29</f>
        <v>90</v>
      </c>
      <c r="D60" s="427"/>
      <c r="E60" s="427"/>
      <c r="F60" s="428"/>
      <c r="G60" s="435">
        <f>' Derechos de Inscripción '!M29</f>
        <v>140</v>
      </c>
      <c r="H60" s="436"/>
      <c r="I60" s="436"/>
      <c r="J60" s="437"/>
      <c r="K60" s="444" t="s">
        <v>367</v>
      </c>
      <c r="L60" s="445"/>
      <c r="M60" s="446"/>
      <c r="N60" s="450">
        <v>3856</v>
      </c>
      <c r="O60" s="450"/>
      <c r="P60" s="450"/>
      <c r="Q60" s="450"/>
      <c r="R60" s="189"/>
      <c r="S60" s="189"/>
      <c r="T60" s="189"/>
      <c r="U60" s="189"/>
      <c r="V60" s="445" t="s">
        <v>368</v>
      </c>
      <c r="W60" s="445"/>
      <c r="X60" s="445"/>
      <c r="Y60" s="445"/>
      <c r="Z60" s="445"/>
      <c r="AA60" s="445"/>
      <c r="AB60" s="446"/>
      <c r="AC60" s="452"/>
      <c r="AD60" s="453"/>
      <c r="AE60" s="453"/>
      <c r="AF60" s="453"/>
      <c r="AG60" s="454"/>
      <c r="AH60" s="23"/>
    </row>
    <row r="61" spans="2:34" ht="9" customHeight="1" x14ac:dyDescent="0.2">
      <c r="B61" s="22"/>
      <c r="C61" s="429"/>
      <c r="D61" s="430"/>
      <c r="E61" s="430"/>
      <c r="F61" s="431"/>
      <c r="G61" s="438"/>
      <c r="H61" s="439"/>
      <c r="I61" s="439"/>
      <c r="J61" s="440"/>
      <c r="K61" s="444"/>
      <c r="L61" s="445"/>
      <c r="M61" s="446"/>
      <c r="N61" s="450"/>
      <c r="O61" s="450"/>
      <c r="P61" s="450"/>
      <c r="Q61" s="450"/>
      <c r="R61" s="461">
        <v>49</v>
      </c>
      <c r="S61" s="450"/>
      <c r="T61" s="450"/>
      <c r="U61" s="462"/>
      <c r="V61" s="445"/>
      <c r="W61" s="445"/>
      <c r="X61" s="445"/>
      <c r="Y61" s="445"/>
      <c r="Z61" s="445"/>
      <c r="AA61" s="445"/>
      <c r="AB61" s="446"/>
      <c r="AC61" s="455"/>
      <c r="AD61" s="456"/>
      <c r="AE61" s="456"/>
      <c r="AF61" s="456"/>
      <c r="AG61" s="457"/>
      <c r="AH61" s="23"/>
    </row>
    <row r="62" spans="2:34" ht="9" customHeight="1" x14ac:dyDescent="0.2">
      <c r="B62" s="22"/>
      <c r="C62" s="429"/>
      <c r="D62" s="430"/>
      <c r="E62" s="430"/>
      <c r="F62" s="431"/>
      <c r="G62" s="438"/>
      <c r="H62" s="439"/>
      <c r="I62" s="439"/>
      <c r="J62" s="440"/>
      <c r="K62" s="444"/>
      <c r="L62" s="445"/>
      <c r="M62" s="446"/>
      <c r="N62" s="450"/>
      <c r="O62" s="450"/>
      <c r="P62" s="450"/>
      <c r="Q62" s="450"/>
      <c r="R62" s="461"/>
      <c r="S62" s="450"/>
      <c r="T62" s="450"/>
      <c r="U62" s="462"/>
      <c r="V62" s="445"/>
      <c r="W62" s="445"/>
      <c r="X62" s="445"/>
      <c r="Y62" s="445"/>
      <c r="Z62" s="445"/>
      <c r="AA62" s="445"/>
      <c r="AB62" s="446"/>
      <c r="AC62" s="455"/>
      <c r="AD62" s="456"/>
      <c r="AE62" s="456"/>
      <c r="AF62" s="456"/>
      <c r="AG62" s="457"/>
      <c r="AH62" s="23"/>
    </row>
    <row r="63" spans="2:34" ht="18" customHeight="1" x14ac:dyDescent="0.2">
      <c r="B63" s="22"/>
      <c r="C63" s="429"/>
      <c r="D63" s="430"/>
      <c r="E63" s="430"/>
      <c r="F63" s="431"/>
      <c r="G63" s="438"/>
      <c r="H63" s="439"/>
      <c r="I63" s="439"/>
      <c r="J63" s="440"/>
      <c r="K63" s="444"/>
      <c r="L63" s="445"/>
      <c r="M63" s="446"/>
      <c r="N63" s="450"/>
      <c r="O63" s="450"/>
      <c r="P63" s="450"/>
      <c r="Q63" s="450"/>
      <c r="R63" s="461"/>
      <c r="S63" s="450"/>
      <c r="T63" s="450"/>
      <c r="U63" s="462"/>
      <c r="V63" s="445"/>
      <c r="W63" s="445"/>
      <c r="X63" s="445"/>
      <c r="Y63" s="445"/>
      <c r="Z63" s="445"/>
      <c r="AA63" s="445"/>
      <c r="AB63" s="446"/>
      <c r="AC63" s="455"/>
      <c r="AD63" s="456"/>
      <c r="AE63" s="456"/>
      <c r="AF63" s="456"/>
      <c r="AG63" s="457"/>
      <c r="AH63" s="23"/>
    </row>
    <row r="64" spans="2:34" ht="3" customHeight="1" thickBot="1" x14ac:dyDescent="0.25">
      <c r="B64" s="22"/>
      <c r="C64" s="432"/>
      <c r="D64" s="433"/>
      <c r="E64" s="433"/>
      <c r="F64" s="434"/>
      <c r="G64" s="441"/>
      <c r="H64" s="442"/>
      <c r="I64" s="442"/>
      <c r="J64" s="443"/>
      <c r="K64" s="447"/>
      <c r="L64" s="448"/>
      <c r="M64" s="449"/>
      <c r="N64" s="451"/>
      <c r="O64" s="451"/>
      <c r="P64" s="451"/>
      <c r="Q64" s="451"/>
      <c r="R64" s="463"/>
      <c r="S64" s="451"/>
      <c r="T64" s="451"/>
      <c r="U64" s="464"/>
      <c r="V64" s="448"/>
      <c r="W64" s="448"/>
      <c r="X64" s="448"/>
      <c r="Y64" s="448"/>
      <c r="Z64" s="448"/>
      <c r="AA64" s="448"/>
      <c r="AB64" s="449"/>
      <c r="AC64" s="458"/>
      <c r="AD64" s="459"/>
      <c r="AE64" s="459"/>
      <c r="AF64" s="459"/>
      <c r="AG64" s="460"/>
      <c r="AH64" s="23"/>
    </row>
    <row r="65" spans="2:35" ht="11.25" x14ac:dyDescent="0.2">
      <c r="B65" s="85"/>
      <c r="C65" s="221" t="s">
        <v>266</v>
      </c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2"/>
      <c r="R65" s="231"/>
      <c r="S65" s="232"/>
      <c r="T65" s="232"/>
      <c r="U65" s="232"/>
      <c r="V65" s="232"/>
      <c r="W65" s="232"/>
      <c r="X65" s="232"/>
      <c r="Y65" s="233"/>
      <c r="Z65" s="227"/>
      <c r="AA65" s="227"/>
      <c r="AB65" s="227"/>
      <c r="AC65" s="227"/>
      <c r="AD65" s="227"/>
      <c r="AE65" s="227"/>
      <c r="AF65" s="227"/>
      <c r="AG65" s="228"/>
      <c r="AH65" s="86"/>
      <c r="AI65" s="90"/>
    </row>
    <row r="66" spans="2:35" ht="14.1" customHeight="1" x14ac:dyDescent="0.2">
      <c r="B66" s="22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3"/>
      <c r="P66" s="223"/>
      <c r="Q66" s="224"/>
      <c r="R66" s="234"/>
      <c r="S66" s="235"/>
      <c r="T66" s="235"/>
      <c r="U66" s="235"/>
      <c r="V66" s="235"/>
      <c r="W66" s="235"/>
      <c r="X66" s="235"/>
      <c r="Y66" s="236"/>
      <c r="Z66" s="229"/>
      <c r="AA66" s="229"/>
      <c r="AB66" s="229"/>
      <c r="AC66" s="229"/>
      <c r="AD66" s="229"/>
      <c r="AE66" s="229"/>
      <c r="AF66" s="229"/>
      <c r="AG66" s="230"/>
      <c r="AH66" s="23"/>
      <c r="AI66" s="90"/>
    </row>
    <row r="67" spans="2:35" ht="14.1" customHeight="1" x14ac:dyDescent="0.2">
      <c r="B67" s="22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3"/>
      <c r="Q67" s="224"/>
      <c r="R67" s="99"/>
      <c r="S67" s="98"/>
      <c r="T67" s="98"/>
      <c r="U67" s="98"/>
      <c r="V67" s="98"/>
      <c r="W67" s="98"/>
      <c r="X67" s="98"/>
      <c r="Y67" s="100"/>
      <c r="Z67" s="229"/>
      <c r="AA67" s="229"/>
      <c r="AB67" s="229"/>
      <c r="AC67" s="229"/>
      <c r="AD67" s="229"/>
      <c r="AE67" s="229"/>
      <c r="AF67" s="229"/>
      <c r="AG67" s="230"/>
      <c r="AH67" s="23"/>
    </row>
    <row r="68" spans="2:35" ht="9.75" customHeight="1" thickBot="1" x14ac:dyDescent="0.25">
      <c r="B68" s="22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4"/>
      <c r="R68" s="99"/>
      <c r="S68" s="98"/>
      <c r="T68" s="98"/>
      <c r="U68" s="98"/>
      <c r="V68" s="98"/>
      <c r="W68" s="98"/>
      <c r="X68" s="98"/>
      <c r="Y68" s="100"/>
      <c r="Z68" s="229"/>
      <c r="AA68" s="229"/>
      <c r="AB68" s="229"/>
      <c r="AC68" s="229"/>
      <c r="AD68" s="229"/>
      <c r="AE68" s="229"/>
      <c r="AF68" s="229"/>
      <c r="AG68" s="230"/>
      <c r="AH68" s="23"/>
    </row>
    <row r="69" spans="2:35" ht="15" customHeight="1" x14ac:dyDescent="0.2">
      <c r="B69" s="22"/>
      <c r="C69" s="223"/>
      <c r="D69" s="223"/>
      <c r="E69" s="223"/>
      <c r="F69" s="223"/>
      <c r="G69" s="223"/>
      <c r="H69" s="223"/>
      <c r="I69" s="223"/>
      <c r="J69" s="223"/>
      <c r="K69" s="223"/>
      <c r="L69" s="223"/>
      <c r="M69" s="223"/>
      <c r="N69" s="223"/>
      <c r="O69" s="223"/>
      <c r="P69" s="223"/>
      <c r="Q69" s="224"/>
      <c r="R69" s="190"/>
      <c r="S69" s="191"/>
      <c r="T69" s="191"/>
      <c r="U69" s="191"/>
      <c r="V69" s="191"/>
      <c r="W69" s="191"/>
      <c r="X69" s="114"/>
      <c r="Y69" s="112"/>
      <c r="Z69" s="229"/>
      <c r="AA69" s="229"/>
      <c r="AB69" s="229"/>
      <c r="AC69" s="229"/>
      <c r="AD69" s="229"/>
      <c r="AE69" s="229"/>
      <c r="AF69" s="229"/>
      <c r="AG69" s="230"/>
      <c r="AH69" s="23"/>
    </row>
    <row r="70" spans="2:35" ht="12.75" customHeight="1" x14ac:dyDescent="0.15">
      <c r="B70" s="22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223"/>
      <c r="Q70" s="224"/>
      <c r="R70" s="192"/>
      <c r="S70" s="193"/>
      <c r="T70" s="193"/>
      <c r="U70" s="193"/>
      <c r="V70" s="193"/>
      <c r="W70" s="193"/>
      <c r="X70" s="115"/>
      <c r="Y70" s="110"/>
      <c r="Z70" s="219" t="s">
        <v>194</v>
      </c>
      <c r="AA70" s="219"/>
      <c r="AB70" s="219"/>
      <c r="AC70" s="219"/>
      <c r="AD70" s="219"/>
      <c r="AE70" s="219"/>
      <c r="AF70" s="219"/>
      <c r="AG70" s="220"/>
      <c r="AH70" s="23"/>
      <c r="AI70" s="90"/>
    </row>
    <row r="71" spans="2:35" ht="12.75" customHeight="1" thickBot="1" x14ac:dyDescent="0.2">
      <c r="B71" s="22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3"/>
      <c r="Q71" s="224"/>
      <c r="R71" s="194"/>
      <c r="S71" s="195"/>
      <c r="T71" s="195"/>
      <c r="U71" s="195"/>
      <c r="V71" s="195"/>
      <c r="W71" s="195"/>
      <c r="X71" s="116"/>
      <c r="Y71" s="111"/>
      <c r="Z71" s="225" t="s">
        <v>238</v>
      </c>
      <c r="AA71" s="225"/>
      <c r="AB71" s="225"/>
      <c r="AC71" s="225"/>
      <c r="AD71" s="225"/>
      <c r="AE71" s="225"/>
      <c r="AF71" s="225"/>
      <c r="AG71" s="226"/>
      <c r="AH71" s="23"/>
      <c r="AI71" s="90"/>
    </row>
    <row r="72" spans="2:35" ht="11.25" x14ac:dyDescent="0.2">
      <c r="B72" s="74"/>
      <c r="C72" s="63"/>
      <c r="D72" s="75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179">
        <v>35796</v>
      </c>
      <c r="AH72" s="76"/>
      <c r="AI72" s="87"/>
    </row>
    <row r="73" spans="2:35" ht="9" customHeight="1" x14ac:dyDescent="0.2">
      <c r="B73" s="93"/>
      <c r="C73" s="88"/>
      <c r="D73" s="88"/>
      <c r="E73" s="88"/>
      <c r="F73" s="88"/>
      <c r="G73" s="89"/>
      <c r="H73" s="89"/>
      <c r="I73" s="89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91"/>
      <c r="AH73" s="91"/>
    </row>
    <row r="74" spans="2:35" ht="15" customHeight="1" x14ac:dyDescent="0.2"/>
    <row r="75" spans="2:35" ht="15" customHeight="1" x14ac:dyDescent="0.2"/>
    <row r="76" spans="2:35" ht="15" customHeight="1" x14ac:dyDescent="0.2"/>
    <row r="77" spans="2:35" ht="15" customHeight="1" x14ac:dyDescent="0.2"/>
    <row r="78" spans="2:35" ht="15" customHeight="1" x14ac:dyDescent="0.2"/>
    <row r="79" spans="2:35" ht="15" customHeight="1" x14ac:dyDescent="0.2"/>
    <row r="80" spans="2:35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</sheetData>
  <sheetProtection algorithmName="SHA-512" hashValue="eO5mXLK/Qd1DfIrl4XMi54eeexkNCN+K5DZSPGEk5pjjppX1AQ0NG2xsUoIbVpygEmO/PcfnrFTPleE4oT78sw==" saltValue="vFjMh0VnUiBC8RRbgaJznQ==" spinCount="100000" sheet="1" objects="1" scenarios="1"/>
  <mergeCells count="95">
    <mergeCell ref="G57:J58"/>
    <mergeCell ref="K57:AB58"/>
    <mergeCell ref="AC57:AG58"/>
    <mergeCell ref="C60:F64"/>
    <mergeCell ref="G60:J64"/>
    <mergeCell ref="K60:M64"/>
    <mergeCell ref="N60:Q64"/>
    <mergeCell ref="V60:AB64"/>
    <mergeCell ref="AC60:AG64"/>
    <mergeCell ref="R61:U64"/>
    <mergeCell ref="AA49:AG49"/>
    <mergeCell ref="N49:P49"/>
    <mergeCell ref="W50:Z50"/>
    <mergeCell ref="Q48:Z49"/>
    <mergeCell ref="C49:I49"/>
    <mergeCell ref="L36:U36"/>
    <mergeCell ref="J40:P40"/>
    <mergeCell ref="D38:P38"/>
    <mergeCell ref="C32:AG32"/>
    <mergeCell ref="AD39:AG39"/>
    <mergeCell ref="Q38:U38"/>
    <mergeCell ref="D36:K36"/>
    <mergeCell ref="Y40:AC40"/>
    <mergeCell ref="C35:C42"/>
    <mergeCell ref="Q40:X40"/>
    <mergeCell ref="I42:M42"/>
    <mergeCell ref="AF35:AG35"/>
    <mergeCell ref="V36:AE36"/>
    <mergeCell ref="AF36:AG36"/>
    <mergeCell ref="AD40:AF40"/>
    <mergeCell ref="D40:I40"/>
    <mergeCell ref="V38:AG38"/>
    <mergeCell ref="N42:U42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AA23:AD24"/>
    <mergeCell ref="D42:H42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V42:AG42"/>
    <mergeCell ref="C44:AG44"/>
    <mergeCell ref="C47:I47"/>
    <mergeCell ref="AA47:AG47"/>
    <mergeCell ref="AA50:AG50"/>
    <mergeCell ref="J48:M48"/>
    <mergeCell ref="N50:P50"/>
    <mergeCell ref="Q46:AG46"/>
    <mergeCell ref="Q50:V50"/>
    <mergeCell ref="N48:P48"/>
    <mergeCell ref="J49:M49"/>
    <mergeCell ref="C50:D50"/>
    <mergeCell ref="E50:I50"/>
    <mergeCell ref="Q47:Z47"/>
    <mergeCell ref="J47:P47"/>
    <mergeCell ref="AA48:AG48"/>
    <mergeCell ref="R69:W71"/>
    <mergeCell ref="Q54:AG54"/>
    <mergeCell ref="W51:Z53"/>
    <mergeCell ref="J53:P53"/>
    <mergeCell ref="C53:I53"/>
    <mergeCell ref="Q51:V53"/>
    <mergeCell ref="Z70:AG70"/>
    <mergeCell ref="C65:Q71"/>
    <mergeCell ref="Z71:AG71"/>
    <mergeCell ref="Z65:AG69"/>
    <mergeCell ref="R65:Y66"/>
    <mergeCell ref="E51:I51"/>
    <mergeCell ref="C51:D51"/>
    <mergeCell ref="C55:AG55"/>
    <mergeCell ref="C57:C58"/>
    <mergeCell ref="D57:F58"/>
  </mergeCells>
  <phoneticPr fontId="20" type="noConversion"/>
  <conditionalFormatting sqref="B8:O8 B9">
    <cfRule type="expression" dxfId="28" priority="25" stopIfTrue="1">
      <formula>Blanco=TRUE</formula>
    </cfRule>
  </conditionalFormatting>
  <conditionalFormatting sqref="C51 E51 J53:P53">
    <cfRule type="cellIs" dxfId="27" priority="34" stopIfTrue="1" operator="equal">
      <formula xml:space="preserve"> ""</formula>
    </cfRule>
    <cfRule type="expression" dxfId="26" priority="33" stopIfTrue="1">
      <formula>Blanco=TRUE</formula>
    </cfRule>
  </conditionalFormatting>
  <conditionalFormatting sqref="C60:F64">
    <cfRule type="expression" dxfId="25" priority="4" stopIfTrue="1">
      <formula>Blanco=TRUE</formula>
    </cfRule>
  </conditionalFormatting>
  <conditionalFormatting sqref="C47:I47 C49:I49">
    <cfRule type="cellIs" dxfId="24" priority="40" stopIfTrue="1" operator="equal">
      <formula xml:space="preserve"> ""</formula>
    </cfRule>
    <cfRule type="expression" dxfId="23" priority="39" stopIfTrue="1">
      <formula>Blanco=TRUE</formula>
    </cfRule>
  </conditionalFormatting>
  <conditionalFormatting sqref="D36:K36">
    <cfRule type="expression" dxfId="22" priority="19" stopIfTrue="1">
      <formula>Blanco=TRUE</formula>
    </cfRule>
    <cfRule type="expression" dxfId="21" priority="20" stopIfTrue="1">
      <formula>$D36=""</formula>
    </cfRule>
  </conditionalFormatting>
  <conditionalFormatting sqref="D38:AG38 D40:P40 AD40 AG40 I42:AG42 H46:I46 J47 Q47 H48:I48 H52:I52 O52 C53">
    <cfRule type="expression" dxfId="20" priority="22" stopIfTrue="1">
      <formula>Blanco=TRUE</formula>
    </cfRule>
  </conditionalFormatting>
  <conditionalFormatting sqref="G60">
    <cfRule type="expression" dxfId="19" priority="2" stopIfTrue="1">
      <formula>Blanco=TRUE</formula>
    </cfRule>
    <cfRule type="cellIs" dxfId="18" priority="3" stopIfTrue="1" operator="equal">
      <formula>""</formula>
    </cfRule>
  </conditionalFormatting>
  <conditionalFormatting sqref="J49:P49">
    <cfRule type="expression" dxfId="17" priority="49" stopIfTrue="1">
      <formula>Blanco=TRUE</formula>
    </cfRule>
    <cfRule type="expression" dxfId="16" priority="47" stopIfTrue="1">
      <formula>Grupo&lt;&gt;5</formula>
    </cfRule>
    <cfRule type="cellIs" dxfId="15" priority="48" stopIfTrue="1" operator="equal">
      <formula>""</formula>
    </cfRule>
  </conditionalFormatting>
  <conditionalFormatting sqref="L36:V36 AF36 Q40:AC40 D42:H42">
    <cfRule type="expression" dxfId="14" priority="37" stopIfTrue="1">
      <formula>Blanco=TRUE</formula>
    </cfRule>
    <cfRule type="cellIs" dxfId="13" priority="38" stopIfTrue="1" operator="equal">
      <formula>""</formula>
    </cfRule>
  </conditionalFormatting>
  <conditionalFormatting sqref="O9">
    <cfRule type="expression" dxfId="12" priority="24" stopIfTrue="1">
      <formula>Blanco=TRUE</formula>
    </cfRule>
  </conditionalFormatting>
  <conditionalFormatting sqref="Q51">
    <cfRule type="expression" dxfId="11" priority="12" stopIfTrue="1">
      <formula>Blanco=TRUE</formula>
    </cfRule>
    <cfRule type="cellIs" dxfId="10" priority="11" stopIfTrue="1" operator="equal">
      <formula>""</formula>
    </cfRule>
    <cfRule type="expression" dxfId="9" priority="10" stopIfTrue="1">
      <formula>Grupo=1</formula>
    </cfRule>
  </conditionalFormatting>
  <conditionalFormatting sqref="Q48:Z49">
    <cfRule type="expression" dxfId="8" priority="9" stopIfTrue="1">
      <formula>Campeonato=2</formula>
    </cfRule>
    <cfRule type="expression" dxfId="7" priority="8" stopIfTrue="1">
      <formula>Blanco=TRUE</formula>
    </cfRule>
  </conditionalFormatting>
  <conditionalFormatting sqref="W51:Z53">
    <cfRule type="expression" priority="7" stopIfTrue="1">
      <formula>Campeonato=TRUE</formula>
    </cfRule>
    <cfRule type="expression" dxfId="6" priority="6" stopIfTrue="1">
      <formula>Blanco=TRUE</formula>
    </cfRule>
  </conditionalFormatting>
  <conditionalFormatting sqref="AA25 AE25:AG30">
    <cfRule type="expression" dxfId="5" priority="23" stopIfTrue="1">
      <formula>$L$15="40 Rallye de Ourense"</formula>
    </cfRule>
  </conditionalFormatting>
  <conditionalFormatting sqref="AA49:AG49">
    <cfRule type="expression" dxfId="4" priority="13" stopIfTrue="1">
      <formula>Grupo&lt;&gt;12</formula>
    </cfRule>
    <cfRule type="cellIs" dxfId="3" priority="14" stopIfTrue="1" operator="equal">
      <formula>""</formula>
    </cfRule>
    <cfRule type="expression" dxfId="2" priority="15" stopIfTrue="1">
      <formula>Blanco=TRUE</formula>
    </cfRule>
  </conditionalFormatting>
  <conditionalFormatting sqref="AC51:AG52 AB52">
    <cfRule type="expression" dxfId="1" priority="5" stopIfTrue="1">
      <formula>Trofeo10=TRUE</formula>
    </cfRule>
  </conditionalFormatting>
  <conditionalFormatting sqref="AC60:AG64">
    <cfRule type="expression" dxfId="0" priority="1" stopIfTrue="1">
      <formula>Blanco=TRUE</formula>
    </cfRule>
  </conditionalFormatting>
  <dataValidations xWindow="445" yWindow="489" count="7">
    <dataValidation type="whole" allowBlank="1" showInputMessage="1" showErrorMessage="1" errorTitle="Cilindrada" error="Teclee un valor numérico comprendido entre 1 y 2000" sqref="C53:I53">
      <formula1>1</formula1>
      <formula2>2000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51">
      <formula1>1</formula1>
      <formula2>5000</formula2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51:I51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46</xdr:row>
                    <xdr:rowOff>28575</xdr:rowOff>
                  </from>
                  <to>
                    <xdr:col>32</xdr:col>
                    <xdr:colOff>142875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50</xdr:row>
                    <xdr:rowOff>0</xdr:rowOff>
                  </from>
                  <to>
                    <xdr:col>11</xdr:col>
                    <xdr:colOff>180975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352425</xdr:colOff>
                    <xdr:row>50</xdr:row>
                    <xdr:rowOff>0</xdr:rowOff>
                  </from>
                  <to>
                    <xdr:col>12</xdr:col>
                    <xdr:colOff>161925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9" name="Check Box 247">
              <controlPr locked="0" defaultSize="0" autoFill="0" autoLine="0" autoPict="0">
                <anchor moveWithCells="1">
                  <from>
                    <xdr:col>31</xdr:col>
                    <xdr:colOff>152400</xdr:colOff>
                    <xdr:row>34</xdr:row>
                    <xdr:rowOff>76200</xdr:rowOff>
                  </from>
                  <to>
                    <xdr:col>35</xdr:col>
                    <xdr:colOff>0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0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50</xdr:row>
                    <xdr:rowOff>0</xdr:rowOff>
                  </from>
                  <to>
                    <xdr:col>27</xdr:col>
                    <xdr:colOff>104775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1" name="Cuadro de grupo 249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58</xdr:row>
                    <xdr:rowOff>0</xdr:rowOff>
                  </from>
                  <to>
                    <xdr:col>32</xdr:col>
                    <xdr:colOff>47625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2" name="Botón de opción 250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60</xdr:row>
                    <xdr:rowOff>47625</xdr:rowOff>
                  </from>
                  <to>
                    <xdr:col>31</xdr:col>
                    <xdr:colOff>95250</xdr:colOff>
                    <xdr:row>61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3" name="Botón de opción 25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62</xdr:row>
                    <xdr:rowOff>19050</xdr:rowOff>
                  </from>
                  <to>
                    <xdr:col>31</xdr:col>
                    <xdr:colOff>228600</xdr:colOff>
                    <xdr:row>62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workbookViewId="0">
      <selection activeCell="B16" sqref="B16"/>
    </sheetView>
  </sheetViews>
  <sheetFormatPr baseColWidth="10" defaultColWidth="31.42578125" defaultRowHeight="12.75" x14ac:dyDescent="0.2"/>
  <cols>
    <col min="1" max="1" width="4.42578125" customWidth="1"/>
    <col min="2" max="2" width="40.140625" bestFit="1" customWidth="1"/>
    <col min="3" max="3" width="18.140625" bestFit="1" customWidth="1"/>
    <col min="4" max="4" width="33.42578125" bestFit="1" customWidth="1"/>
    <col min="5" max="5" width="22.140625" bestFit="1" customWidth="1"/>
    <col min="6" max="6" width="10.28515625" bestFit="1" customWidth="1"/>
    <col min="7" max="7" width="10.28515625" customWidth="1"/>
    <col min="8" max="8" width="12.28515625" customWidth="1"/>
    <col min="9" max="9" width="8.42578125" customWidth="1"/>
    <col min="10" max="10" width="13.140625" customWidth="1"/>
    <col min="11" max="11" width="11.7109375" bestFit="1" customWidth="1"/>
    <col min="12" max="12" width="11.85546875" bestFit="1" customWidth="1"/>
    <col min="13" max="13" width="15.85546875" bestFit="1" customWidth="1"/>
    <col min="14" max="14" width="5.140625" bestFit="1" customWidth="1"/>
    <col min="15" max="15" width="10.85546875" bestFit="1" customWidth="1"/>
    <col min="16" max="16" width="8.85546875" bestFit="1" customWidth="1"/>
    <col min="17" max="17" width="15.28515625" bestFit="1" customWidth="1"/>
    <col min="18" max="18" width="6.140625" bestFit="1" customWidth="1"/>
    <col min="19" max="19" width="10.7109375" customWidth="1"/>
    <col min="20" max="20" width="5.28515625" bestFit="1" customWidth="1"/>
    <col min="21" max="21" width="24" bestFit="1" customWidth="1"/>
    <col min="22" max="22" width="24" customWidth="1"/>
    <col min="23" max="23" width="11.42578125" bestFit="1" customWidth="1"/>
    <col min="24" max="24" width="38.7109375" customWidth="1"/>
  </cols>
  <sheetData>
    <row r="1" spans="1:23" ht="35.25" customHeight="1" x14ac:dyDescent="0.2">
      <c r="A1" s="465" t="s">
        <v>242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</row>
    <row r="2" spans="1:23" s="108" customFormat="1" ht="26.25" customHeight="1" x14ac:dyDescent="0.2">
      <c r="A2" s="105" t="s">
        <v>23</v>
      </c>
      <c r="B2" s="105" t="s">
        <v>243</v>
      </c>
      <c r="C2" s="105" t="s">
        <v>244</v>
      </c>
      <c r="D2" s="105" t="s">
        <v>176</v>
      </c>
      <c r="E2" s="105" t="s">
        <v>259</v>
      </c>
      <c r="F2" s="105" t="s">
        <v>245</v>
      </c>
      <c r="G2" s="105" t="s">
        <v>264</v>
      </c>
      <c r="H2" s="105" t="s">
        <v>246</v>
      </c>
      <c r="I2" s="105" t="s">
        <v>263</v>
      </c>
      <c r="J2" s="105" t="s">
        <v>241</v>
      </c>
      <c r="K2" s="105" t="s">
        <v>247</v>
      </c>
      <c r="L2" s="106" t="s">
        <v>248</v>
      </c>
      <c r="M2" s="105" t="s">
        <v>249</v>
      </c>
      <c r="N2" s="105" t="s">
        <v>250</v>
      </c>
      <c r="O2" s="105" t="s">
        <v>258</v>
      </c>
      <c r="P2" s="105" t="s">
        <v>251</v>
      </c>
      <c r="Q2" s="105" t="s">
        <v>252</v>
      </c>
      <c r="R2" s="105" t="s">
        <v>253</v>
      </c>
      <c r="S2" s="105" t="s">
        <v>254</v>
      </c>
      <c r="T2" s="105" t="s">
        <v>255</v>
      </c>
      <c r="U2" s="107" t="s">
        <v>256</v>
      </c>
      <c r="V2" s="113" t="s">
        <v>300</v>
      </c>
      <c r="W2" s="105" t="s">
        <v>257</v>
      </c>
    </row>
    <row r="3" spans="1:23" x14ac:dyDescent="0.2">
      <c r="B3" t="e">
        <f>' Boletín de Inscripción '!#REF!</f>
        <v>#REF!</v>
      </c>
      <c r="C3" t="e">
        <f>CONCATENATE(' Boletín de Inscripción '!#REF!," ",' Boletín de Inscripción '!#REF!)</f>
        <v>#REF!</v>
      </c>
      <c r="D3" t="str">
        <f>CONCATENATE(' Boletín de Inscripción '!D36," ",' Boletín de Inscripción '!L36," ",' Boletín de Inscripción '!V36)</f>
        <v xml:space="preserve">  </v>
      </c>
      <c r="E3">
        <f>' Boletín de Inscripción '!V42</f>
        <v>0</v>
      </c>
      <c r="F3">
        <f>' Boletín de Inscripción '!Q40</f>
        <v>0</v>
      </c>
      <c r="G3">
        <f>' Boletín de Inscripción '!D40</f>
        <v>0</v>
      </c>
      <c r="H3" s="109">
        <f>' Boletín de Inscripción '!AD40</f>
        <v>0</v>
      </c>
      <c r="I3" t="str">
        <f>' Boletín de Inscripción '!AG40</f>
        <v/>
      </c>
      <c r="J3" t="b">
        <v>0</v>
      </c>
      <c r="K3">
        <f>' Boletín de Inscripción '!Y40</f>
        <v>0</v>
      </c>
      <c r="L3">
        <f>' Boletín de Inscripción '!D42</f>
        <v>0</v>
      </c>
      <c r="M3" t="str">
        <f>CONCATENATE(' Boletín de Inscripción '!C47," ",' Boletín de Inscripción '!C49)</f>
        <v xml:space="preserve"> </v>
      </c>
      <c r="N3">
        <f>CILINDRADA</f>
        <v>0</v>
      </c>
      <c r="O3">
        <f>cc</f>
        <v>0</v>
      </c>
      <c r="P3">
        <f>' Boletín de Inscripción '!E51</f>
        <v>0</v>
      </c>
      <c r="Q3" t="str">
        <f>' Boletín de Inscripción '!Q48</f>
        <v/>
      </c>
      <c r="R3" t="str">
        <f>' Boletín de Inscripción '!Q51</f>
        <v/>
      </c>
      <c r="S3" t="str">
        <f>' Boletín de Inscripción '!W51</f>
        <v/>
      </c>
      <c r="T3">
        <f>' Boletín de Inscripción '!AA49</f>
        <v>0</v>
      </c>
      <c r="U3">
        <f>' Boletín de Inscripción '!J53</f>
        <v>0</v>
      </c>
      <c r="V3" t="b">
        <v>1</v>
      </c>
    </row>
  </sheetData>
  <mergeCells count="1">
    <mergeCell ref="A1:W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42578125" defaultRowHeight="11.25" x14ac:dyDescent="0.2"/>
  <cols>
    <col min="1" max="1" width="11.7109375" style="56" bestFit="1" customWidth="1"/>
    <col min="2" max="2" width="10.42578125" style="56" bestFit="1" customWidth="1"/>
    <col min="3" max="3" width="10.7109375" style="56" bestFit="1" customWidth="1"/>
    <col min="4" max="4" width="15.28515625" style="56" bestFit="1" customWidth="1"/>
    <col min="5" max="5" width="19.85546875" style="56" bestFit="1" customWidth="1"/>
    <col min="6" max="6" width="21.85546875" style="56" bestFit="1" customWidth="1"/>
    <col min="7" max="7" width="27.42578125" style="56" bestFit="1" customWidth="1"/>
    <col min="8" max="8" width="18.85546875" style="56" bestFit="1" customWidth="1"/>
    <col min="9" max="9" width="15.42578125" style="56" bestFit="1" customWidth="1"/>
    <col min="10" max="10" width="14" style="56" bestFit="1" customWidth="1"/>
    <col min="11" max="11" width="21.85546875" style="56" bestFit="1" customWidth="1"/>
    <col min="12" max="12" width="18.85546875" style="56" customWidth="1"/>
    <col min="13" max="13" width="16.7109375" style="56" bestFit="1" customWidth="1"/>
    <col min="14" max="14" width="16.42578125" style="56" bestFit="1" customWidth="1"/>
    <col min="15" max="16" width="17" style="56" bestFit="1" customWidth="1"/>
    <col min="17" max="17" width="12.42578125" style="56" bestFit="1" customWidth="1"/>
    <col min="18" max="18" width="13.42578125" style="56" bestFit="1" customWidth="1"/>
    <col min="19" max="19" width="10" style="56" bestFit="1" customWidth="1"/>
    <col min="20" max="20" width="14.42578125" style="56" bestFit="1" customWidth="1"/>
    <col min="21" max="21" width="16.42578125" style="56" bestFit="1" customWidth="1"/>
    <col min="22" max="22" width="23.7109375" style="56" customWidth="1"/>
    <col min="23" max="23" width="13.42578125" style="56" bestFit="1" customWidth="1"/>
    <col min="24" max="24" width="10.42578125" style="56" bestFit="1" customWidth="1"/>
    <col min="25" max="25" width="8.7109375" style="56" bestFit="1" customWidth="1"/>
    <col min="26" max="26" width="16.28515625" style="56" customWidth="1"/>
    <col min="27" max="27" width="13.42578125" style="56" bestFit="1" customWidth="1"/>
    <col min="28" max="28" width="11.28515625" style="56" bestFit="1" customWidth="1"/>
    <col min="29" max="29" width="14.140625" style="56" bestFit="1" customWidth="1"/>
    <col min="30" max="31" width="11.42578125" style="56" bestFit="1" customWidth="1"/>
    <col min="32" max="32" width="7.28515625" style="56" bestFit="1" customWidth="1"/>
    <col min="33" max="33" width="8.140625" style="56" bestFit="1" customWidth="1"/>
    <col min="34" max="34" width="11.85546875" style="56" bestFit="1" customWidth="1"/>
    <col min="35" max="35" width="18" style="56" bestFit="1" customWidth="1"/>
    <col min="36" max="36" width="18.28515625" style="56" bestFit="1" customWidth="1"/>
    <col min="37" max="37" width="29.140625" style="56" bestFit="1" customWidth="1"/>
    <col min="38" max="38" width="15.28515625" style="56" bestFit="1" customWidth="1"/>
    <col min="39" max="39" width="12.28515625" style="56" bestFit="1" customWidth="1"/>
    <col min="40" max="40" width="10.42578125" style="56" bestFit="1" customWidth="1"/>
    <col min="41" max="41" width="13" style="56" bestFit="1" customWidth="1"/>
    <col min="42" max="42" width="15.42578125" style="56" bestFit="1" customWidth="1"/>
    <col min="43" max="43" width="13.140625" style="56" bestFit="1" customWidth="1"/>
    <col min="44" max="44" width="16.42578125" style="56" bestFit="1" customWidth="1"/>
    <col min="45" max="46" width="13.42578125" style="56" bestFit="1" customWidth="1"/>
    <col min="47" max="47" width="9.140625" style="56" bestFit="1" customWidth="1"/>
    <col min="48" max="48" width="10" style="56" bestFit="1" customWidth="1"/>
    <col min="49" max="49" width="9.140625" style="56" bestFit="1" customWidth="1"/>
    <col min="50" max="50" width="11.7109375" style="56" bestFit="1" customWidth="1"/>
    <col min="51" max="51" width="10.28515625" style="56" customWidth="1"/>
    <col min="52" max="52" width="7.85546875" style="56" bestFit="1" customWidth="1"/>
    <col min="53" max="53" width="14.28515625" style="56" bestFit="1" customWidth="1"/>
    <col min="54" max="54" width="5.42578125" style="56" bestFit="1" customWidth="1"/>
    <col min="55" max="55" width="5.140625" style="56" bestFit="1" customWidth="1"/>
    <col min="56" max="56" width="12" style="56" bestFit="1" customWidth="1"/>
    <col min="57" max="62" width="7.42578125" style="56" bestFit="1" customWidth="1"/>
    <col min="63" max="65" width="7.28515625" style="56" bestFit="1" customWidth="1"/>
    <col min="66" max="66" width="7.85546875" style="56" bestFit="1" customWidth="1"/>
    <col min="67" max="67" width="9.28515625" style="56" bestFit="1" customWidth="1"/>
    <col min="68" max="68" width="8.85546875" style="56" bestFit="1" customWidth="1"/>
    <col min="69" max="69" width="5.28515625" style="56" bestFit="1" customWidth="1"/>
    <col min="70" max="70" width="11.28515625" style="56" bestFit="1" customWidth="1"/>
    <col min="71" max="71" width="17" style="56" bestFit="1" customWidth="1"/>
    <col min="72" max="72" width="6.42578125" style="56" bestFit="1" customWidth="1"/>
    <col min="73" max="73" width="6" style="56" bestFit="1" customWidth="1"/>
    <col min="74" max="74" width="6.42578125" style="56" bestFit="1" customWidth="1"/>
    <col min="75" max="75" width="6.140625" style="56" bestFit="1" customWidth="1"/>
    <col min="76" max="76" width="6.7109375" style="56" bestFit="1" customWidth="1"/>
    <col min="77" max="77" width="6.140625" style="56" bestFit="1" customWidth="1"/>
    <col min="78" max="78" width="9.7109375" style="56" bestFit="1" customWidth="1"/>
    <col min="79" max="79" width="12.85546875" style="56" bestFit="1" customWidth="1"/>
    <col min="80" max="80" width="14.7109375" style="56" bestFit="1" customWidth="1"/>
    <col min="81" max="81" width="7.42578125" style="56" bestFit="1" customWidth="1"/>
    <col min="82" max="82" width="9.42578125" style="56" bestFit="1" customWidth="1"/>
    <col min="83" max="83" width="9.7109375" style="56" bestFit="1" customWidth="1"/>
    <col min="84" max="84" width="12.85546875" style="56" bestFit="1" customWidth="1"/>
    <col min="85" max="85" width="14.7109375" style="56" bestFit="1" customWidth="1"/>
    <col min="86" max="86" width="7.42578125" style="56" bestFit="1" customWidth="1"/>
    <col min="87" max="87" width="9.42578125" style="56" bestFit="1" customWidth="1"/>
    <col min="88" max="88" width="9.7109375" style="56" bestFit="1" customWidth="1"/>
    <col min="89" max="89" width="12.85546875" style="56" bestFit="1" customWidth="1"/>
    <col min="90" max="90" width="14.7109375" style="56" bestFit="1" customWidth="1"/>
    <col min="91" max="91" width="7.42578125" style="56" bestFit="1" customWidth="1"/>
    <col min="92" max="92" width="9.42578125" style="56" bestFit="1" customWidth="1"/>
    <col min="93" max="93" width="9.7109375" style="56" bestFit="1" customWidth="1"/>
    <col min="94" max="94" width="12.85546875" style="56" bestFit="1" customWidth="1"/>
    <col min="95" max="95" width="14.7109375" style="56" bestFit="1" customWidth="1"/>
    <col min="96" max="96" width="7.42578125" style="56" bestFit="1" customWidth="1"/>
    <col min="97" max="97" width="9.42578125" style="56" bestFit="1" customWidth="1"/>
    <col min="98" max="98" width="9.7109375" style="56" bestFit="1" customWidth="1"/>
    <col min="99" max="99" width="12.85546875" style="56" bestFit="1" customWidth="1"/>
    <col min="100" max="100" width="14.7109375" style="56" bestFit="1" customWidth="1"/>
    <col min="101" max="101" width="7.42578125" style="56" bestFit="1" customWidth="1"/>
    <col min="102" max="102" width="9.42578125" style="56" bestFit="1" customWidth="1"/>
    <col min="103" max="103" width="9.7109375" style="56" bestFit="1" customWidth="1"/>
    <col min="104" max="104" width="12.85546875" style="56" bestFit="1" customWidth="1"/>
    <col min="105" max="105" width="14.7109375" style="56" bestFit="1" customWidth="1"/>
    <col min="106" max="106" width="7.42578125" style="56" bestFit="1" customWidth="1"/>
    <col min="107" max="107" width="9.42578125" style="56" bestFit="1" customWidth="1"/>
    <col min="108" max="108" width="9.7109375" style="56" bestFit="1" customWidth="1"/>
    <col min="109" max="109" width="12.85546875" style="56" bestFit="1" customWidth="1"/>
    <col min="110" max="110" width="14.7109375" style="56" bestFit="1" customWidth="1"/>
    <col min="111" max="111" width="7.42578125" style="56" bestFit="1" customWidth="1"/>
    <col min="112" max="112" width="9.42578125" style="56" bestFit="1" customWidth="1"/>
    <col min="113" max="113" width="9.7109375" style="56" bestFit="1" customWidth="1"/>
    <col min="114" max="114" width="12.85546875" style="56" bestFit="1" customWidth="1"/>
    <col min="115" max="115" width="14.7109375" style="56" bestFit="1" customWidth="1"/>
    <col min="116" max="16384" width="11.42578125" style="56"/>
  </cols>
  <sheetData>
    <row r="1" spans="1:115" x14ac:dyDescent="0.2">
      <c r="A1" s="56" t="s">
        <v>56</v>
      </c>
      <c r="B1" s="56" t="s">
        <v>57</v>
      </c>
      <c r="C1" s="56" t="s">
        <v>58</v>
      </c>
      <c r="D1" s="56" t="s">
        <v>59</v>
      </c>
      <c r="E1" s="56" t="s">
        <v>60</v>
      </c>
      <c r="F1" s="56" t="s">
        <v>61</v>
      </c>
      <c r="G1" s="56" t="s">
        <v>62</v>
      </c>
      <c r="H1" s="56" t="s">
        <v>63</v>
      </c>
      <c r="I1" s="56" t="s">
        <v>64</v>
      </c>
      <c r="J1" s="56" t="s">
        <v>65</v>
      </c>
      <c r="K1" s="56" t="s">
        <v>66</v>
      </c>
      <c r="L1" s="56" t="s">
        <v>67</v>
      </c>
      <c r="M1" s="56" t="s">
        <v>68</v>
      </c>
      <c r="N1" s="56" t="s">
        <v>69</v>
      </c>
      <c r="O1" s="56" t="s">
        <v>70</v>
      </c>
      <c r="P1" s="56" t="s">
        <v>71</v>
      </c>
      <c r="Q1" s="56" t="s">
        <v>72</v>
      </c>
      <c r="R1" s="56" t="s">
        <v>73</v>
      </c>
      <c r="S1" s="56" t="s">
        <v>74</v>
      </c>
      <c r="T1" s="56" t="s">
        <v>75</v>
      </c>
      <c r="U1" s="56" t="s">
        <v>76</v>
      </c>
      <c r="V1" s="56" t="s">
        <v>77</v>
      </c>
      <c r="W1" s="56" t="s">
        <v>78</v>
      </c>
      <c r="X1" s="56" t="s">
        <v>81</v>
      </c>
      <c r="Y1" s="56" t="s">
        <v>82</v>
      </c>
      <c r="Z1" s="56" t="s">
        <v>83</v>
      </c>
      <c r="AA1" s="56" t="s">
        <v>84</v>
      </c>
      <c r="AB1" s="56" t="s">
        <v>79</v>
      </c>
      <c r="AC1" s="56" t="s">
        <v>80</v>
      </c>
      <c r="AD1" s="56" t="s">
        <v>85</v>
      </c>
      <c r="AE1" s="56" t="s">
        <v>86</v>
      </c>
      <c r="AF1" s="56" t="s">
        <v>87</v>
      </c>
      <c r="AG1" s="56" t="s">
        <v>88</v>
      </c>
      <c r="AH1" s="56" t="s">
        <v>89</v>
      </c>
      <c r="AI1" s="56" t="s">
        <v>90</v>
      </c>
      <c r="AJ1" s="56" t="s">
        <v>91</v>
      </c>
      <c r="AK1" s="56" t="s">
        <v>92</v>
      </c>
      <c r="AL1" s="56" t="s">
        <v>93</v>
      </c>
      <c r="AM1" s="56" t="s">
        <v>94</v>
      </c>
      <c r="AN1" s="56" t="s">
        <v>95</v>
      </c>
      <c r="AO1" s="56" t="s">
        <v>96</v>
      </c>
      <c r="AP1" s="56" t="s">
        <v>97</v>
      </c>
      <c r="AQ1" s="56" t="s">
        <v>98</v>
      </c>
      <c r="AR1" s="56" t="s">
        <v>99</v>
      </c>
      <c r="AS1" s="56" t="s">
        <v>100</v>
      </c>
      <c r="AT1" s="56" t="s">
        <v>101</v>
      </c>
      <c r="AU1" s="56" t="s">
        <v>102</v>
      </c>
      <c r="AV1" s="56" t="s">
        <v>103</v>
      </c>
      <c r="AW1" s="56" t="s">
        <v>104</v>
      </c>
      <c r="AX1" s="56" t="s">
        <v>105</v>
      </c>
      <c r="AY1" s="56" t="s">
        <v>106</v>
      </c>
      <c r="AZ1" s="56" t="s">
        <v>107</v>
      </c>
      <c r="BA1" s="56" t="s">
        <v>108</v>
      </c>
      <c r="BB1" s="56" t="s">
        <v>12</v>
      </c>
      <c r="BC1" s="56" t="s">
        <v>13</v>
      </c>
      <c r="BD1" s="56" t="s">
        <v>217</v>
      </c>
      <c r="BE1" s="56" t="s">
        <v>109</v>
      </c>
      <c r="BF1" s="56" t="s">
        <v>110</v>
      </c>
      <c r="BG1" s="56" t="s">
        <v>111</v>
      </c>
      <c r="BH1" s="56" t="s">
        <v>112</v>
      </c>
      <c r="BI1" s="56" t="s">
        <v>113</v>
      </c>
      <c r="BJ1" s="56" t="s">
        <v>114</v>
      </c>
      <c r="BK1" s="56" t="s">
        <v>115</v>
      </c>
      <c r="BL1" s="56" t="s">
        <v>116</v>
      </c>
      <c r="BM1" s="56" t="s">
        <v>117</v>
      </c>
      <c r="BN1" s="56" t="s">
        <v>38</v>
      </c>
      <c r="BO1" s="56" t="s">
        <v>34</v>
      </c>
      <c r="BP1" s="56" t="s">
        <v>118</v>
      </c>
      <c r="BQ1" s="56" t="s">
        <v>119</v>
      </c>
      <c r="BR1" s="56" t="s">
        <v>120</v>
      </c>
      <c r="BS1" s="56" t="s">
        <v>121</v>
      </c>
      <c r="BT1" s="56" t="s">
        <v>122</v>
      </c>
      <c r="BU1" s="56" t="s">
        <v>123</v>
      </c>
      <c r="BV1" s="56" t="s">
        <v>124</v>
      </c>
      <c r="BW1" s="56" t="s">
        <v>125</v>
      </c>
      <c r="BX1" s="56" t="s">
        <v>35</v>
      </c>
      <c r="BY1" s="56" t="s">
        <v>36</v>
      </c>
      <c r="BZ1" s="56" t="s">
        <v>128</v>
      </c>
      <c r="CA1" s="56" t="s">
        <v>129</v>
      </c>
      <c r="CB1" s="56" t="s">
        <v>130</v>
      </c>
      <c r="CC1" s="56" t="s">
        <v>131</v>
      </c>
      <c r="CD1" s="56" t="s">
        <v>132</v>
      </c>
      <c r="CE1" s="56" t="s">
        <v>133</v>
      </c>
      <c r="CF1" s="56" t="s">
        <v>134</v>
      </c>
      <c r="CG1" s="56" t="s">
        <v>135</v>
      </c>
      <c r="CH1" s="56" t="s">
        <v>136</v>
      </c>
      <c r="CI1" s="56" t="s">
        <v>137</v>
      </c>
      <c r="CJ1" s="56" t="s">
        <v>138</v>
      </c>
      <c r="CK1" s="56" t="s">
        <v>139</v>
      </c>
      <c r="CL1" s="56" t="s">
        <v>140</v>
      </c>
      <c r="CM1" s="56" t="s">
        <v>141</v>
      </c>
      <c r="CN1" s="56" t="s">
        <v>142</v>
      </c>
      <c r="CO1" s="56" t="s">
        <v>143</v>
      </c>
      <c r="CP1" s="56" t="s">
        <v>144</v>
      </c>
      <c r="CQ1" s="56" t="s">
        <v>145</v>
      </c>
      <c r="CR1" s="56" t="s">
        <v>146</v>
      </c>
      <c r="CS1" s="56" t="s">
        <v>147</v>
      </c>
      <c r="CT1" s="56" t="s">
        <v>148</v>
      </c>
      <c r="CU1" s="56" t="s">
        <v>149</v>
      </c>
      <c r="CV1" s="56" t="s">
        <v>150</v>
      </c>
      <c r="CW1" s="56" t="s">
        <v>151</v>
      </c>
      <c r="CX1" s="56" t="s">
        <v>152</v>
      </c>
      <c r="CY1" s="56" t="s">
        <v>153</v>
      </c>
      <c r="CZ1" s="56" t="s">
        <v>154</v>
      </c>
      <c r="DA1" s="56" t="s">
        <v>155</v>
      </c>
      <c r="DB1" s="56" t="s">
        <v>156</v>
      </c>
      <c r="DC1" s="56" t="s">
        <v>157</v>
      </c>
      <c r="DD1" s="56" t="s">
        <v>158</v>
      </c>
      <c r="DE1" s="56" t="s">
        <v>159</v>
      </c>
      <c r="DF1" s="56" t="s">
        <v>160</v>
      </c>
      <c r="DG1" s="56" t="s">
        <v>161</v>
      </c>
      <c r="DH1" s="56" t="s">
        <v>162</v>
      </c>
      <c r="DI1" s="56" t="s">
        <v>163</v>
      </c>
      <c r="DJ1" s="56" t="s">
        <v>164</v>
      </c>
      <c r="DK1" s="56" t="s">
        <v>165</v>
      </c>
    </row>
    <row r="2" spans="1:115" s="79" customFormat="1" x14ac:dyDescent="0.2">
      <c r="A2" s="79">
        <f>VALUE(' Boletín de Inscripción '!AA25)</f>
        <v>0</v>
      </c>
      <c r="B2" s="79">
        <f>VALUE(' Boletín de Inscripción '!AE25)</f>
        <v>0</v>
      </c>
      <c r="C2" s="79">
        <f>B2</f>
        <v>0</v>
      </c>
      <c r="D2" s="79" t="e">
        <f>IF(' Boletín de Inscripción '!#REF!="","",IF(LEN(' Boletín de Inscripción '!#REF!)&gt;50,PROPER(LEFT(' Boletín de Inscripción '!#REF!,50)),PROPER(' Boletín de Inscripción '!#REF!)))</f>
        <v>#REF!</v>
      </c>
      <c r="G2" s="79" t="e">
        <f>D2&amp;" "&amp;E2&amp;" "&amp;F2</f>
        <v>#REF!</v>
      </c>
      <c r="H2" s="79" t="e">
        <f>IF(' Boletín de Inscripción '!#REF!="","",UPPER(LEFT(' Boletín de Inscripción '!#REF!,1)))</f>
        <v>#REF!</v>
      </c>
      <c r="I2" s="79" t="e">
        <f>IF(' Boletín de Inscripción '!#REF!="","",IF(LEN(' Boletín de Inscripción '!#REF!)&gt;20,UPPER(LEFT(' Boletín de Inscripción '!#REF!,20)),UPPER(' Boletín de Inscripción '!#REF!)))&amp;" "&amp;' Boletín de Inscripción '!#REF!</f>
        <v>#REF!</v>
      </c>
      <c r="J2" s="79" t="e">
        <f>IF(' Boletín de Inscripción '!#REF!,"",IF(LEN(DNICIFCONCURSANTE)&gt;20,UPPER(LEFT("DNICIRCONCURSANTE",20)),UPPER(DNICIFCONCURSANTE)))</f>
        <v>#REF!</v>
      </c>
      <c r="K2" s="79" t="e">
        <f>IF(' Boletín de Inscripción '!#REF!="","",IF(LEN(' Boletín de Inscripción '!#REF!)&gt;40,PROPER(LEFT(' Boletín de Inscripción '!#REF!,40)),PROPER(' Boletín de Inscripción '!#REF!)))</f>
        <v>#REF!</v>
      </c>
      <c r="L2" s="79" t="e">
        <f>IF(' Boletín de Inscripción '!#REF!="","",IF(LEN(' Boletín de Inscripción '!#REF!)&gt;10,LEFT(' Boletín de Inscripción '!#REF!,10),' Boletín de Inscripción '!#REF!))</f>
        <v>#REF!</v>
      </c>
      <c r="M2" s="79" t="e">
        <f>IF(' Boletín de Inscripción '!#REF!="","",IF(LEN(' Boletín de Inscripción '!#REF!)&gt;25,PROPER(LEFT(' Boletín de Inscripción '!#REF!,25)),PROPER(' Boletín de Inscripción '!#REF!)))</f>
        <v>#REF!</v>
      </c>
      <c r="N2" s="79" t="e">
        <f>IF(' Boletín de Inscripción '!#REF!="","",IF(LEN(' Boletín de Inscripción '!#REF!)&gt;25,UPPER(LEFT(' Boletín de Inscripción '!#REF!,25)),UPPER(' Boletín de Inscripción '!#REF!)))</f>
        <v>#REF!</v>
      </c>
      <c r="O2" s="79" t="e">
        <f>IF(' Boletín de Inscripción '!#REF!="","",IF(LEN(' Boletín de Inscripción '!#REF!)&gt;15,LEFT(' Boletín de Inscripción '!#REF!,15),' Boletín de Inscripción '!#REF!))</f>
        <v>#REF!</v>
      </c>
      <c r="P2" s="79" t="e">
        <f>IF(' Boletín de Inscripción '!#REF!="","",IF(LEN(' Boletín de Inscripción '!#REF!)&gt;15,LEFT(' Boletín de Inscripción '!#REF!,15),' Boletín de Inscripción '!#REF!))</f>
        <v>#REF!</v>
      </c>
      <c r="Q2" s="79" t="e">
        <f>IF(' Boletín de Inscripción '!#REF!="","",IF(LEN(' Boletín de Inscripción '!#REF!)&gt;15,LEFT(' Boletín de Inscripción '!#REF!,15),' Boletín de Inscripción '!#REF!))</f>
        <v>#REF!</v>
      </c>
      <c r="R2" s="79" t="e">
        <f>IF(' Boletín de Inscripción '!#REF!="","",IF(LEN(' Boletín de Inscripción '!#REF!)&gt;30,LEFT(' Boletín de Inscripción '!#REF!,30),' Boletín de Inscripción '!#REF!))</f>
        <v>#REF!</v>
      </c>
      <c r="S2" s="79" t="str">
        <f>IF(' Boletín de Inscripción '!V36="","",IF(LEN(' Boletín de Inscripción '!V36)&gt;25,PROPER(LEFT(' Boletín de Inscripción '!V36,25)),PROPER(' Boletín de Inscripción '!V36)))</f>
        <v/>
      </c>
      <c r="T2" s="79" t="str">
        <f>IF(' Boletín de Inscripción '!D36="","",IF(LEN(' Boletín de Inscripción '!D36)&gt;25,UPPER(LEFT(' Boletín de Inscripción '!D36,25)),UPPER(' Boletín de Inscripción '!D36)))</f>
        <v/>
      </c>
      <c r="U2" s="79" t="str">
        <f>IF(' Boletín de Inscripción '!L36="","",IF(LEN(' Boletín de Inscripción '!L36)&gt;25,UPPER(LEFT(' Boletín de Inscripción '!L36,25)),UPPER(' Boletín de Inscripción '!L36)))</f>
        <v/>
      </c>
      <c r="V2" s="79" t="str">
        <f>S2&amp;" "&amp;T2&amp;" "&amp;U2</f>
        <v xml:space="preserve">  </v>
      </c>
      <c r="W2" s="79" t="str">
        <f>IF(' Boletín de Inscripción '!J40="","",UPPER(LEFT(' Boletín de Inscripción '!J40,1)))</f>
        <v/>
      </c>
      <c r="X2" s="79" t="str">
        <f>IF(' Boletín de Inscripción '!Y40="","",IF(LEN(' Boletín de Inscripción '!Y40)&gt;20,UPPER(LEFT(' Boletín de Inscripción '!Y40,20)),UPPER(' Boletín de Inscripción '!Y40)))</f>
        <v/>
      </c>
      <c r="Y2" s="79" t="str">
        <f>IF(' Boletín de Inscripción '!Q40="","",IF(LEN(' Boletín de Inscripción '!Q40)&gt;20,UPPER(LEFT(' Boletín de Inscripción '!Q40,20)),UPPER(' Boletín de Inscripción '!Q40)))</f>
        <v/>
      </c>
      <c r="Z2" s="79" t="str">
        <f>IF(' Boletín de Inscripción '!D38="","",IF(LEN(' Boletín de Inscripción '!D38)&gt;40,PROPER(LEFT(' Boletín de Inscripción '!D38,40)),PROPER(' Boletín de Inscripción '!D38)))</f>
        <v/>
      </c>
      <c r="AA2" s="79" t="str">
        <f>IF(' Boletín de Inscripción '!Q38="","",IF(LEN(' Boletín de Inscripción '!Q38)&gt;10,LEFT(' Boletín de Inscripción '!Q38,10),' Boletín de Inscripción '!Q38))</f>
        <v/>
      </c>
      <c r="AB2" s="79" t="str">
        <f>IF(' Boletín de Inscripción '!V38="","",IF(LEN(' Boletín de Inscripción '!V38)&gt;25,PROPER(LEFT(' Boletín de Inscripción '!V38,25)),PROPER(' Boletín de Inscripción '!V38)))</f>
        <v/>
      </c>
      <c r="AC2" s="79" t="str">
        <f>IF(' Boletín de Inscripción '!D40="","",IF(LEN(' Boletín de Inscripción '!D40)&gt;25,UPPER(LEFT(' Boletín de Inscripción '!D40,25)),UPPER(' Boletín de Inscripción '!D40)))</f>
        <v/>
      </c>
      <c r="AD2" s="79" t="str">
        <f>IF(' Boletín de Inscripción '!D42="","",IF(LEN(' Boletín de Inscripción '!D42)&gt;15,LEFT(' Boletín de Inscripción '!D42,15),' Boletín de Inscripción '!D42))</f>
        <v/>
      </c>
      <c r="AE2" s="79" t="str">
        <f>IF(' Boletín de Inscripción '!I42="","",IF(LEN(' Boletín de Inscripción '!I42)&gt;15,LEFT(' Boletín de Inscripción '!I42,15),' Boletín de Inscripción '!I42))</f>
        <v/>
      </c>
      <c r="AF2" s="79" t="str">
        <f>IF(' Boletín de Inscripción '!N42="","",IF(LEN(' Boletín de Inscripción '!N42)&gt;15,LEFT(' Boletín de Inscripción '!N42,15),' Boletín de Inscripción '!N42))</f>
        <v/>
      </c>
      <c r="AG2" s="79" t="str">
        <f>IF(' Boletín de Inscripción '!V42="","",IF(LEN(' Boletín de Inscripción '!V42)&gt;30,LEFT(' Boletín de Inscripción '!V42,30),' Boletín de Inscripción '!V42))</f>
        <v/>
      </c>
      <c r="AH2" s="79" t="e">
        <f>IF(' Boletín de Inscripción '!#REF!="","",IF(LEN(' Boletín de Inscripción '!#REF!)&gt;25,PROPER(LEFT(' Boletín de Inscripción '!#REF!,25)),PROPER(' Boletín de Inscripción '!#REF!)))</f>
        <v>#REF!</v>
      </c>
      <c r="AI2" s="79" t="e">
        <f>IF(' Boletín de Inscripción '!#REF!="","",IF(LEN(' Boletín de Inscripción '!#REF!)&gt;25,UPPER(LEFT(' Boletín de Inscripción '!#REF!,25)),UPPER(' Boletín de Inscripción '!#REF!)))</f>
        <v>#REF!</v>
      </c>
      <c r="AJ2" s="79" t="e">
        <f>IF(' Boletín de Inscripción '!#REF!="","",IF(LEN(' Boletín de Inscripción '!#REF!)&gt;25,UPPER(LEFT(' Boletín de Inscripción '!#REF!,25)),UPPER(' Boletín de Inscripción '!#REF!)))</f>
        <v>#REF!</v>
      </c>
      <c r="AK2" s="79" t="e">
        <f>AH2&amp;" "&amp;AI2&amp;" "&amp;AJ2</f>
        <v>#REF!</v>
      </c>
      <c r="AL2" s="79" t="e">
        <f>IF( ' Boletín de Inscripción '!#REF!="","",UPPER(LEFT(' Boletín de Inscripción '!#REF!,1)))</f>
        <v>#REF!</v>
      </c>
      <c r="AM2" s="79" t="e">
        <f>IF(' Boletín de Inscripción '!#REF!="","",IF(LEN(' Boletín de Inscripción '!#REF!)&gt;20,UPPER(LEFT(' Boletín de Inscripción '!#REF!,20)),UPPER(' Boletín de Inscripción '!#REF!)))</f>
        <v>#REF!</v>
      </c>
      <c r="AN2" s="79" t="e">
        <f>IF(' Boletín de Inscripción '!#REF!="","",IF(LEN(' Boletín de Inscripción '!#REF!)&gt;20,UPPER(LEFT(' Boletín de Inscripción '!#REF!,20)),UPPER(' Boletín de Inscripción '!#REF!)))</f>
        <v>#REF!</v>
      </c>
      <c r="AO2" s="79" t="e">
        <f>IF(' Boletín de Inscripción '!#REF!="","",IF(LEN(' Boletín de Inscripción '!#REF!)&gt;40,PROPER(LEFT(' Boletín de Inscripción '!#REF!,40)),PROPER(' Boletín de Inscripción '!#REF!)))</f>
        <v>#REF!</v>
      </c>
      <c r="AP2" s="79" t="e">
        <f>IF(' Boletín de Inscripción '!#REF!="","",IF(LEN(' Boletín de Inscripción '!#REF!)&gt;10,LEFT(' Boletín de Inscripción '!#REF!,10),' Boletín de Inscripción '!#REF!))</f>
        <v>#REF!</v>
      </c>
      <c r="AQ2" s="79" t="e">
        <f>IF(' Boletín de Inscripción '!#REF!="","",IF(LEN(' Boletín de Inscripción '!#REF!)&gt;25,PROPER(LEFT(' Boletín de Inscripción '!#REF!,25)),PROPER(' Boletín de Inscripción '!#REF!)))</f>
        <v>#REF!</v>
      </c>
      <c r="AR2" s="79" t="e">
        <f>IF(' Boletín de Inscripción '!#REF!="","",IF(LEN(' Boletín de Inscripción '!#REF!)&gt;25,UPPER(LEFT(' Boletín de Inscripción '!#REF!,25)),UPPER(' Boletín de Inscripción '!#REF!)))</f>
        <v>#REF!</v>
      </c>
      <c r="AS2" s="79" t="e">
        <f>IF(' Boletín de Inscripción '!#REF!="","",IF(LEN(' Boletín de Inscripción '!#REF!)&gt;15,LEFT(' Boletín de Inscripción '!#REF!,15),' Boletín de Inscripción '!#REF!))</f>
        <v>#REF!</v>
      </c>
      <c r="AT2" s="79" t="e">
        <f>IF(' Boletín de Inscripción '!#REF!="","",IF(LEN(' Boletín de Inscripción '!#REF!)&gt;15,LEFT(' Boletín de Inscripción '!#REF!,15),' Boletín de Inscripción '!#REF!))</f>
        <v>#REF!</v>
      </c>
      <c r="AU2" s="79" t="e">
        <f>IF(' Boletín de Inscripción '!#REF!="","",IF(LEN(' Boletín de Inscripción '!#REF!)&gt;15,LEFT(' Boletín de Inscripción '!#REF!,15),' Boletín de Inscripción '!#REF!))</f>
        <v>#REF!</v>
      </c>
      <c r="AV2" s="79" t="e">
        <f>IF(' Boletín de Inscripción '!#REF!="","",IF(LEN(' Boletín de Inscripción '!#REF!)&gt;30,LEFT(' Boletín de Inscripción '!#REF!,30),' Boletín de Inscripción '!#REF!))</f>
        <v>#REF!</v>
      </c>
      <c r="AW2" s="79" t="str">
        <f>IF(' Boletín de Inscripción '!C47="","",IF(LEN(' Boletín de Inscripción '!C47)&gt;25,PROPER(LEFT(' Boletín de Inscripción '!C47,25)),PROPER(' Boletín de Inscripción '!C47)))</f>
        <v/>
      </c>
      <c r="AX2" s="79" t="str">
        <f>IF(' Boletín de Inscripción '!C49="","",IF(LEN(' Boletín de Inscripción '!C49)&gt;25,UPPER(LEFT(' Boletín de Inscripción '!C49,25)),UPPER(' Boletín de Inscripción '!C49)))</f>
        <v/>
      </c>
      <c r="AY2" s="79" t="str">
        <f>IF(' Boletín de Inscripción '!J53="","",IF(LEN(' Boletín de Inscripción '!J53)&gt;25,UPPER(LEFT(' Boletín de Inscripción '!J53,25)),UPPER(' Boletín de Inscripción '!J53)))</f>
        <v/>
      </c>
      <c r="AZ2" s="81" t="str">
        <f>IF(' Boletín de Inscripción '!C53="","",IF(LEN(' Boletín de Inscripción '!C53)&gt;25,UPPER(LEFT(' Boletín de Inscripción '!C53,25)),UPPER(' Boletín de Inscripción '!C53)))</f>
        <v>0</v>
      </c>
      <c r="BA2" s="79" t="str">
        <f>IF(' Boletín de Inscripción '!J47="","",IF(LEN(' Boletín de Inscripción '!J47)&gt;25,UPPER(LEFT(' Boletín de Inscripción '!J47,25)),UPPER(' Boletín de Inscripción '!J47)))</f>
        <v/>
      </c>
      <c r="BB2" s="79" t="e">
        <f>IF(' Boletín de Inscripción '!#REF!="","",IF(LEN(' Boletín de Inscripción '!#REF!)&gt;3,UPPER(LEFT(' Boletín de Inscripción '!#REF!,5)),UPPER(' Boletín de Inscripción '!#REF!)))</f>
        <v>#REF!</v>
      </c>
      <c r="BC2" s="79" t="str">
        <f>IF(' Boletín de Inscripción '!W51="","",IF(LEN(' Boletín de Inscripción '!W51)&gt;3,LEFT(' Boletín de Inscripción '!W51,10),' Boletín de Inscripción '!W51))</f>
        <v/>
      </c>
      <c r="BD2" s="79" t="str">
        <f>IF(' Boletín de Inscripción '!Q48="","",IF(LEN(' Boletín de Inscripción '!Q48)&gt;3,LEFT(' Boletín de Inscripción '!Q48,25),' Boletín de Inscripción '!Q48))</f>
        <v/>
      </c>
      <c r="BE2" s="79" t="e">
        <f>IF(Trofeo1=TRUE,"SI","NO")</f>
        <v>#REF!</v>
      </c>
      <c r="BF2" s="79" t="e">
        <f>IF(Trofeo2=TRUE,"SI","NO")</f>
        <v>#REF!</v>
      </c>
      <c r="BG2" s="79" t="e">
        <f>IF(Trofeo3=TRUE,"SI","NO")</f>
        <v>#REF!</v>
      </c>
      <c r="BH2" s="79" t="e">
        <f>IF(Trofeo4=TRUE,"SI","NO")</f>
        <v>#REF!</v>
      </c>
      <c r="BI2" s="79" t="e">
        <f>IF(Trofeo5=TRUE,"SI","NO")</f>
        <v>#REF!</v>
      </c>
      <c r="BJ2" s="79" t="e">
        <f>IF(Trofeo6=TRUE,"SI","NO")</f>
        <v>#REF!</v>
      </c>
      <c r="BK2" s="79" t="str">
        <f>IF(Trofeo7=TRUE,"SI","NO")</f>
        <v>NO</v>
      </c>
      <c r="BL2" s="79" t="str">
        <f>IF(Trofeo8=TRUE,"SI","NO")</f>
        <v>SI</v>
      </c>
      <c r="BM2" s="79" t="s">
        <v>126</v>
      </c>
      <c r="BN2" s="79" t="str">
        <f>IF(Publicidad=1,"SI","NO")</f>
        <v>SI</v>
      </c>
      <c r="BO2" s="79" t="str">
        <f>IF(Shakedown=TRUE,"SI","NO")</f>
        <v>NO</v>
      </c>
      <c r="BP2" s="82">
        <f ca="1">IF(' Boletín de Inscripción '!W25="",TODAY(),' Boletín de Inscripción '!V25)</f>
        <v>45551</v>
      </c>
      <c r="BQ2" s="83">
        <f ca="1">IF(' Boletín de Inscripción '!W28="",NOW(),' Boletín de Inscripción '!W28)</f>
        <v>45551.853393981481</v>
      </c>
      <c r="BR2" s="79" t="e">
        <f>IF(' Boletín de Inscripción '!#REF!="","",IF(LEN(' Boletín de Inscripción '!#REF!)&gt;61,PROPER(LEFT(' Boletín de Inscripción '!#REF!,61)),PROPER(' Boletín de Inscripción '!#REF!)))</f>
        <v>#REF!</v>
      </c>
      <c r="BS2" s="80" t="s">
        <v>127</v>
      </c>
      <c r="BT2" s="79" t="e">
        <f>IF(' Boletín de Inscripción '!#REF!="","",IF(LEN(' Boletín de Inscripción '!#REF!)&gt;1,UPPER(LEFT(' Boletín de Inscripción '!#REF!,1)),UPPER(' Boletín de Inscripción '!#REF!)))</f>
        <v>#REF!</v>
      </c>
      <c r="BU2" s="79" t="e">
        <f>IF(' Boletín de Inscripción '!#REF!="","",IF(LEN(' Boletín de Inscripción '!#REF!)&gt;1,LEFT(' Boletín de Inscripción '!#REF!,1),' Boletín de Inscripción '!#REF!))</f>
        <v>#REF!</v>
      </c>
      <c r="BV2" s="79" t="e">
        <f>IF(' Boletín de Inscripción '!#REF!="","",IF(LEN(' Boletín de Inscripción '!#REF!)&gt;1,UPPER(LEFT(' Boletín de Inscripción '!#REF!,1)),UPPER(' Boletín de Inscripción '!#REF!)))</f>
        <v>#REF!</v>
      </c>
      <c r="BW2" s="79" t="e">
        <f>IF(' Boletín de Inscripción '!#REF!="","",IF(LEN(' Boletín de Inscripción '!#REF!)&gt;1,LEFT(' Boletín de Inscripción '!#REF!,1),' Boletín de Inscripción '!#REF!))</f>
        <v>#REF!</v>
      </c>
      <c r="BX2" s="79" t="str">
        <f>IF(Ouvreur=TRUE,"SI","NO")</f>
        <v>NO</v>
      </c>
      <c r="BY2" s="79" t="str">
        <f>IF(Auxiliar=TRUE,"SI","NO")</f>
        <v>NO</v>
      </c>
      <c r="BZ2" s="79" t="e">
        <f>IF(NombreA1="","",IF(LEN(NombreA1)&gt;25,UPPER(LEFT(NombreA1,25)),UPPER(NombreA1)))</f>
        <v>#REF!</v>
      </c>
      <c r="CA2" s="79" t="e">
        <f>IF(PrimerApellidoA1="","",IF(LEN(PrimerApellidoA1)&gt;25,UPPER(LEFT(PrimerApellidoA1,25)),UPPER(PrimerApellidoA1)))</f>
        <v>#REF!</v>
      </c>
      <c r="CB2" s="79" t="e">
        <f>IF(SegundoApellidoA1="","",IF(LEN(SegundoApellidoA1)&gt;25,UPPER(LEFT(SegundoApellidoA1,25)),UPPER(SegundoApellidoA1)))</f>
        <v>#REF!</v>
      </c>
      <c r="CC2" s="79" t="e">
        <f>IF(DniCifA1="","",IF(LEN(DniCifA1)&gt;25,UPPER(LEFT(DniCifA1,25)),UPPER(DniCifA1)))</f>
        <v>#REF!</v>
      </c>
      <c r="CD2" s="79" t="e">
        <f>IF(LicenciaA1="","",IF(LEN(LicenciaA1)&gt;25,UPPER(LEFT(LicenciaA1,25)),UPPER(LicenciaA1)))</f>
        <v>#REF!</v>
      </c>
      <c r="CE2" s="79" t="e">
        <f>IF(NombreA2="","",IF(LEN(NombreA2)&gt;25,UPPER(LEFT(NombreA2,25)),UPPER(NombreA2)))</f>
        <v>#REF!</v>
      </c>
      <c r="CF2" s="79" t="e">
        <f>IF(PrimerApellidoA2="","",IF(LEN(PrimerApellidoA2)&gt;25,UPPER(LEFT(PrimerApellidoA2,25)),UPPER(PrimerApellidoA2)))</f>
        <v>#REF!</v>
      </c>
      <c r="CG2" s="79" t="e">
        <f>IF(SegundoApellidoA2="","",IF(LEN(SegundoApellidoA2)&gt;25,UPPER(LEFT(SegundoApellidoA2,25)),UPPER(SegundoApellidoA2)))</f>
        <v>#REF!</v>
      </c>
      <c r="CH2" s="79" t="e">
        <f>IF(DniCifA2="","",IF(LEN(DniCifA2)&gt;25,UPPER(LEFT(DniCifA2,25)),UPPER(DniCifA2)))</f>
        <v>#REF!</v>
      </c>
      <c r="CI2" s="79" t="e">
        <f>IF(LicenciaA2="","",IF(LEN(LicenciaA2)&gt;25,UPPER(LEFT(LicenciaA2,25)),UPPER(LicenciaA2)))</f>
        <v>#REF!</v>
      </c>
      <c r="CJ2" s="79" t="e">
        <f>IF(NombreR1="","",IF(LEN(NombreR1)&gt;25,UPPER(LEFT(NombreR1,25)),UPPER(NombreR1)))</f>
        <v>#REF!</v>
      </c>
      <c r="CK2" s="79" t="e">
        <f>IF(PrimerApellidoR1="","",IF(LEN(PrimerApellidoR1)&gt;25,UPPER(LEFT(PrimerApellidoR1,25)),UPPER(PrimerApellidoR1)))</f>
        <v>#REF!</v>
      </c>
      <c r="CL2" s="79" t="e">
        <f>IF(SegundoApellidoR1="","",IF(LEN(SegundoApellidoR1)&gt;25,UPPER(LEFT(SegundoApellidoR1,25)),UPPER(SegundoApellidoR1)))</f>
        <v>#REF!</v>
      </c>
      <c r="CM2" s="79" t="e">
        <f>IF(DniCifR1="","",IF(LEN(DniCifR1)&gt;25,UPPER(LEFT(DniCifR1,25)),UPPER(DniCifR1)))</f>
        <v>#REF!</v>
      </c>
      <c r="CN2" s="79" t="e">
        <f>IF(LicenciaR1="","",IF(LEN(LicenciaR1)&gt;25,UPPER(LEFT(LicenciaR1,25)),UPPER(LicenciaR1)))</f>
        <v>#REF!</v>
      </c>
      <c r="CO2" s="79" t="e">
        <f>IF(NombreR2="","",IF(LEN(NombreR2)&gt;25,UPPER(LEFT(NombreR2,25)),UPPER(NombreR2)))</f>
        <v>#REF!</v>
      </c>
      <c r="CP2" s="79" t="e">
        <f>IF(PrimerApellidoR2="","",IF(LEN(PrimerApellidoR2)&gt;25,UPPER(LEFT(PrimerApellidoR2,25)),UPPER(PrimerApellidoR2)))</f>
        <v>#REF!</v>
      </c>
      <c r="CQ2" s="79" t="e">
        <f>IF(SegundoApellidoR2="","",IF(LEN(SegundoApellidoR2)&gt;25,UPPER(LEFT(SegundoApellidoR2,25)),UPPER(SegundoApellidoR2)))</f>
        <v>#REF!</v>
      </c>
      <c r="CR2" s="79" t="e">
        <f>IF(DniCifR2="","",IF(LEN(DniCifR2)&gt;25,UPPER(LEFT(DniCifR2,25)),UPPER(DniCifR2)))</f>
        <v>#REF!</v>
      </c>
      <c r="CS2" s="79" t="e">
        <f>IF(LicenciaR2="","",IF(LEN(LicenciaR2)&gt;25,UPPER(LEFT(LicenciaR2,25)),UPPER(LicenciaR2)))</f>
        <v>#REF!</v>
      </c>
      <c r="CT2" s="79" t="e">
        <f>IF(NombreAux="","",IF(LEN(NombreAux)&gt;25,UPPER(LEFT(NombreAux,25)),UPPER(NombreAux)))</f>
        <v>#REF!</v>
      </c>
      <c r="CU2" s="79" t="e">
        <f>IF(PrimerApellidoAux="","",IF(LEN(PrimerApellidoAux)&gt;25,UPPER(LEFT(PrimerApellidoAux,25)),UPPER(PrimerApellidoAux)))</f>
        <v>#REF!</v>
      </c>
      <c r="CV2" s="79" t="e">
        <f>IF(SegundoApellidoAux="","",IF(LEN(SegundoApellidoAux)&gt;25,UPPER(LEFT(SegundoApellidoAux,25)),UPPER(SegundoApellidoAux)))</f>
        <v>#REF!</v>
      </c>
      <c r="CW2" s="79" t="e">
        <f>IF(DniCifAux="","",IF(LEN(DniCifAux)&gt;25,UPPER(LEFT(DniCifAux,25)),UPPER(DniCifAux)))</f>
        <v>#REF!</v>
      </c>
      <c r="CX2" s="79" t="e">
        <f>IF(LicenciaAux="","",IF(LEN(LicenciaAux)&gt;25,UPPER(LEFT(LicenciaAux,25)),UPPER(LicenciaAux)))</f>
        <v>#REF!</v>
      </c>
      <c r="CY2" s="79" t="e">
        <f>IF(NombreO1="","",IF(LEN(NombreO1)&gt;25,UPPER(LEFT(NombreO1,25)),UPPER(NombreO1)))</f>
        <v>#REF!</v>
      </c>
      <c r="CZ2" s="79" t="e">
        <f>IF(PrimerApellidoO1="","",IF(LEN(PrimerApellidoO1)&gt;25,UPPER(LEFT(PrimerApellidoO1,25)),UPPER(PrimerApellidoO1)))</f>
        <v>#REF!</v>
      </c>
      <c r="DA2" s="79" t="e">
        <f>IF(SegundoApellidoO1="","",IF(LEN(SegundoApellidoO1)&gt;25,UPPER(LEFT(SegundoApellidoO1,25)),UPPER(SegundoApellidoO1)))</f>
        <v>#REF!</v>
      </c>
      <c r="DB2" s="79" t="e">
        <f>IF(DniCifO1="","",IF(LEN(DniCifO1)&gt;25,UPPER(LEFT(DniCifO1,25)),UPPER(DniCifO1)))</f>
        <v>#REF!</v>
      </c>
      <c r="DC2" s="79" t="e">
        <f>IF(LicenciaO1="","",IF(LEN(LicenciaO1)&gt;25,UPPER(LEFT(LicenciaO1,25)),UPPER(LicenciaO1)))</f>
        <v>#REF!</v>
      </c>
      <c r="DD2" s="79" t="e">
        <f>IF(NombreO2="","",IF(LEN(NombreO2)&gt;25,UPPER(LEFT(NombreO2,25)),UPPER(NombreO2)))</f>
        <v>#REF!</v>
      </c>
      <c r="DE2" s="79" t="e">
        <f>IF(PrimerApellidoO2="","",IF(LEN(PrimerApellidoO2)&gt;25,UPPER(LEFT(PrimerApellidoO2,25)),UPPER(PrimerApellidoO2)))</f>
        <v>#REF!</v>
      </c>
      <c r="DF2" s="79" t="e">
        <f>IF(SegundoApellidoO2="","",IF(LEN(SegundoApellidoO2)&gt;25,UPPER(LEFT(SegundoApellidoO2,25)),UPPER(SegundoApellidoO2)))</f>
        <v>#REF!</v>
      </c>
      <c r="DG2" s="79" t="e">
        <f>IF(DniCifO2="","",IF(LEN(DniCifO2)&gt;25,UPPER(LEFT(DniCifO2,25)),UPPER(DniCifO2)))</f>
        <v>#REF!</v>
      </c>
      <c r="DH2" s="79" t="e">
        <f>IF(LicenciaO2="","",IF(LEN(LicenciaO2)&gt;25,UPPER(LEFT(LicenciaO2,25)),UPPER(LicenciaO2)))</f>
        <v>#REF!</v>
      </c>
      <c r="DI2" s="79" t="e">
        <f>IF(MarcaOuvreur="","",IF(LEN(MarcaOuvreur)&gt;25,UPPER(LEFT(MarcaOuvreur,25)),UPPER(MarcaOuvreur)))</f>
        <v>#REF!</v>
      </c>
      <c r="DJ2" s="79" t="e">
        <f>IF(ModeloOuvreur="","",IF(LEN(ModeloOuvreur)&gt;25,PROPER(LEFT(ModeloOuvreur,25)),PROPER(ModeloOuvreur)))</f>
        <v>#REF!</v>
      </c>
      <c r="DK2" s="79" t="e">
        <f>IF(MatriculaOuvreur="","",IF(LEN(MatriculaOuvreur)&gt;25,UPPER(LEFT(MatriculaOuvreur,25)),UPPER(MatriculaOuvreur)))</f>
        <v>#REF!</v>
      </c>
    </row>
    <row r="3" spans="1:115" x14ac:dyDescent="0.2">
      <c r="I3" s="78"/>
    </row>
  </sheetData>
  <phoneticPr fontId="20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4" zoomScale="174" zoomScaleNormal="174" workbookViewId="0">
      <selection activeCell="J33" sqref="J33"/>
    </sheetView>
  </sheetViews>
  <sheetFormatPr baseColWidth="10" defaultColWidth="0" defaultRowHeight="0" customHeight="1" zeroHeight="1" x14ac:dyDescent="0.2"/>
  <cols>
    <col min="1" max="1" width="4" style="25" hidden="1" customWidth="1"/>
    <col min="2" max="2" width="5.7109375" style="20" hidden="1" customWidth="1"/>
    <col min="3" max="3" width="9.7109375" style="20" customWidth="1"/>
    <col min="4" max="4" width="13.7109375" style="20" customWidth="1"/>
    <col min="5" max="5" width="6.28515625" style="20" customWidth="1"/>
    <col min="6" max="6" width="13.7109375" style="20" customWidth="1"/>
    <col min="7" max="8" width="8.7109375" style="20" customWidth="1"/>
    <col min="9" max="15" width="4.7109375" style="20" customWidth="1"/>
    <col min="16" max="16" width="3.7109375" style="26" hidden="1" customWidth="1"/>
    <col min="17" max="17" width="4.140625" style="26" hidden="1" customWidth="1"/>
    <col min="18" max="26" width="11.42578125" style="26" hidden="1" customWidth="1"/>
    <col min="27" max="31" width="11.42578125" style="27" hidden="1" customWidth="1"/>
    <col min="32" max="162" width="11.42578125" style="25" hidden="1" customWidth="1"/>
    <col min="163" max="163" width="7.7109375" style="25" hidden="1" customWidth="1"/>
    <col min="164" max="16384" width="11.42578125" style="25" hidden="1"/>
  </cols>
  <sheetData>
    <row r="1" spans="1:16" ht="10.5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</row>
    <row r="2" spans="1:16" ht="8.25" customHeight="1" x14ac:dyDescent="0.2">
      <c r="A2" s="37"/>
      <c r="B2" s="36"/>
      <c r="C2" s="18"/>
      <c r="D2" s="18"/>
      <c r="E2" s="510" t="s">
        <v>265</v>
      </c>
      <c r="F2" s="510"/>
      <c r="G2" s="510"/>
      <c r="H2" s="510"/>
      <c r="I2" s="510"/>
      <c r="J2" s="510"/>
      <c r="K2" s="510"/>
      <c r="L2" s="510"/>
      <c r="M2" s="510"/>
      <c r="N2" s="510"/>
      <c r="O2" s="511"/>
      <c r="P2" s="38"/>
    </row>
    <row r="3" spans="1:16" ht="60" customHeight="1" x14ac:dyDescent="0.2">
      <c r="A3" s="37"/>
      <c r="B3" s="514"/>
      <c r="C3" s="515"/>
      <c r="D3" s="29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3"/>
      <c r="P3" s="38"/>
    </row>
    <row r="4" spans="1:16" ht="6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8"/>
    </row>
    <row r="5" spans="1:16" ht="27" customHeight="1" x14ac:dyDescent="0.2">
      <c r="A5" s="37"/>
      <c r="B5" s="505" t="s">
        <v>49</v>
      </c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7"/>
      <c r="P5" s="38"/>
    </row>
    <row r="6" spans="1:16" ht="5.25" customHeight="1" x14ac:dyDescent="0.2">
      <c r="A6" s="37"/>
      <c r="B6" s="19"/>
      <c r="O6" s="21"/>
      <c r="P6" s="38"/>
    </row>
    <row r="7" spans="1:16" ht="12" customHeight="1" x14ac:dyDescent="0.2">
      <c r="A7" s="37"/>
      <c r="B7" s="19"/>
      <c r="C7" s="523">
        <v>1</v>
      </c>
      <c r="D7" s="520" t="s">
        <v>30</v>
      </c>
      <c r="E7" s="521"/>
      <c r="F7" s="521"/>
      <c r="G7" s="521"/>
      <c r="H7" s="521"/>
      <c r="I7" s="521"/>
      <c r="J7" s="521"/>
      <c r="K7" s="521"/>
      <c r="L7" s="521"/>
      <c r="M7" s="521"/>
      <c r="N7" s="522"/>
      <c r="O7" s="21"/>
      <c r="P7" s="38"/>
    </row>
    <row r="8" spans="1:16" ht="12" customHeight="1" x14ac:dyDescent="0.2">
      <c r="A8" s="37"/>
      <c r="B8" s="19"/>
      <c r="C8" s="519"/>
      <c r="D8" s="516"/>
      <c r="E8" s="517"/>
      <c r="F8" s="517"/>
      <c r="G8" s="517"/>
      <c r="H8" s="517"/>
      <c r="I8" s="517"/>
      <c r="J8" s="517"/>
      <c r="K8" s="517"/>
      <c r="L8" s="517"/>
      <c r="M8" s="517"/>
      <c r="N8" s="518"/>
      <c r="O8" s="21"/>
      <c r="P8" s="38"/>
    </row>
    <row r="9" spans="1:16" ht="12" customHeight="1" x14ac:dyDescent="0.2">
      <c r="A9" s="37"/>
      <c r="B9" s="19"/>
      <c r="C9" s="485">
        <v>2</v>
      </c>
      <c r="D9" s="499" t="s">
        <v>29</v>
      </c>
      <c r="E9" s="500"/>
      <c r="F9" s="500"/>
      <c r="G9" s="500"/>
      <c r="H9" s="500"/>
      <c r="I9" s="500"/>
      <c r="J9" s="500"/>
      <c r="K9" s="500"/>
      <c r="L9" s="500"/>
      <c r="M9" s="500"/>
      <c r="N9" s="501"/>
      <c r="O9" s="21"/>
      <c r="P9" s="38"/>
    </row>
    <row r="10" spans="1:16" ht="12" customHeight="1" x14ac:dyDescent="0.2">
      <c r="A10" s="37"/>
      <c r="B10" s="19"/>
      <c r="C10" s="519"/>
      <c r="D10" s="516"/>
      <c r="E10" s="517"/>
      <c r="F10" s="517"/>
      <c r="G10" s="517"/>
      <c r="H10" s="517"/>
      <c r="I10" s="517"/>
      <c r="J10" s="517"/>
      <c r="K10" s="517"/>
      <c r="L10" s="517"/>
      <c r="M10" s="517"/>
      <c r="N10" s="518"/>
      <c r="O10" s="21"/>
      <c r="P10" s="38"/>
    </row>
    <row r="11" spans="1:16" ht="12" customHeight="1" x14ac:dyDescent="0.2">
      <c r="A11" s="37"/>
      <c r="B11" s="19"/>
      <c r="C11" s="485">
        <v>3</v>
      </c>
      <c r="D11" s="499" t="s">
        <v>31</v>
      </c>
      <c r="E11" s="500"/>
      <c r="F11" s="500"/>
      <c r="G11" s="500"/>
      <c r="H11" s="500"/>
      <c r="I11" s="500"/>
      <c r="J11" s="500"/>
      <c r="K11" s="500"/>
      <c r="L11" s="500"/>
      <c r="M11" s="500"/>
      <c r="N11" s="501"/>
      <c r="O11" s="21"/>
      <c r="P11" s="38"/>
    </row>
    <row r="12" spans="1:16" ht="12" customHeight="1" thickBot="1" x14ac:dyDescent="0.25">
      <c r="A12" s="37"/>
      <c r="B12" s="19"/>
      <c r="C12" s="486"/>
      <c r="D12" s="502"/>
      <c r="E12" s="503"/>
      <c r="F12" s="503"/>
      <c r="G12" s="503"/>
      <c r="H12" s="503"/>
      <c r="I12" s="503"/>
      <c r="J12" s="503"/>
      <c r="K12" s="503"/>
      <c r="L12" s="503"/>
      <c r="M12" s="503"/>
      <c r="N12" s="504"/>
      <c r="O12" s="21"/>
      <c r="P12" s="38"/>
    </row>
    <row r="13" spans="1:16" ht="5.25" customHeight="1" thickTop="1" x14ac:dyDescent="0.2">
      <c r="A13" s="37"/>
      <c r="B13" s="19"/>
      <c r="O13" s="21"/>
      <c r="P13" s="38"/>
    </row>
    <row r="14" spans="1:16" ht="34.5" customHeight="1" x14ac:dyDescent="0.2">
      <c r="A14" s="37"/>
      <c r="B14" s="19"/>
      <c r="C14" s="487" t="s">
        <v>236</v>
      </c>
      <c r="D14" s="487"/>
      <c r="E14" s="487"/>
      <c r="F14" s="487"/>
      <c r="G14" s="487"/>
      <c r="H14" s="487"/>
      <c r="I14" s="487"/>
      <c r="J14" s="487"/>
      <c r="K14" s="487"/>
      <c r="L14" s="487"/>
      <c r="M14" s="487"/>
      <c r="N14" s="487"/>
      <c r="O14" s="21"/>
      <c r="P14" s="38"/>
    </row>
    <row r="15" spans="1:16" ht="6" customHeight="1" x14ac:dyDescent="0.2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8"/>
    </row>
    <row r="16" spans="1:16" ht="15" customHeight="1" x14ac:dyDescent="0.2">
      <c r="A16" s="37"/>
      <c r="B16" s="25"/>
      <c r="C16" s="30">
        <v>10</v>
      </c>
      <c r="D16" s="97">
        <f>VLOOKUP(C16,' Datos de Organizadores '!A3:M14,11)</f>
        <v>45584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5"/>
      <c r="P16" s="38"/>
    </row>
    <row r="17" spans="1:16" ht="18" customHeight="1" x14ac:dyDescent="0.2">
      <c r="A17" s="37"/>
      <c r="B17" s="25"/>
      <c r="C17" s="489" t="s">
        <v>24</v>
      </c>
      <c r="D17" s="490"/>
      <c r="E17" s="490"/>
      <c r="F17" s="490"/>
      <c r="G17" s="490"/>
      <c r="H17" s="490"/>
      <c r="I17" s="490"/>
      <c r="J17" s="490"/>
      <c r="K17" s="490"/>
      <c r="L17" s="490"/>
      <c r="M17" s="490"/>
      <c r="N17" s="491"/>
      <c r="O17" s="25"/>
      <c r="P17" s="38"/>
    </row>
    <row r="18" spans="1:16" ht="24.6" customHeight="1" x14ac:dyDescent="0.2">
      <c r="A18" s="37"/>
      <c r="B18" s="505" t="str">
        <f>VLOOKUP(C16,' Datos de Organizadores '!A3:J14,2)</f>
        <v>SLALOM JEREZ DEL MARQUESADO</v>
      </c>
      <c r="C18" s="506"/>
      <c r="D18" s="506"/>
      <c r="E18" s="506"/>
      <c r="F18" s="506"/>
      <c r="G18" s="506"/>
      <c r="H18" s="506"/>
      <c r="I18" s="506"/>
      <c r="J18" s="506"/>
      <c r="K18" s="506"/>
      <c r="L18" s="506"/>
      <c r="M18" s="506"/>
      <c r="N18" s="506"/>
      <c r="O18" s="507"/>
      <c r="P18" s="38"/>
    </row>
    <row r="19" spans="1:16" ht="6" customHeight="1" x14ac:dyDescent="0.2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8"/>
    </row>
    <row r="20" spans="1:16" ht="18" customHeight="1" x14ac:dyDescent="0.2">
      <c r="A20" s="37"/>
      <c r="B20" s="25"/>
      <c r="C20" s="495" t="s">
        <v>22</v>
      </c>
      <c r="D20" s="496"/>
      <c r="E20" s="496"/>
      <c r="F20" s="496"/>
      <c r="G20" s="496"/>
      <c r="H20" s="496"/>
      <c r="I20" s="496"/>
      <c r="J20" s="496"/>
      <c r="K20" s="496"/>
      <c r="L20" s="496"/>
      <c r="M20" s="496"/>
      <c r="N20" s="496"/>
      <c r="O20" s="25"/>
      <c r="P20" s="38"/>
    </row>
    <row r="21" spans="1:16" ht="18" customHeight="1" x14ac:dyDescent="0.2">
      <c r="A21" s="37"/>
      <c r="B21" s="508" t="s">
        <v>46</v>
      </c>
      <c r="C21" s="35" t="s">
        <v>43</v>
      </c>
      <c r="D21" s="488" t="str">
        <f>VLOOKUP(C16,' Datos de Organizadores '!A3:J16,3)</f>
        <v>MC BALCON ALMANZORA</v>
      </c>
      <c r="E21" s="488"/>
      <c r="F21" s="488"/>
      <c r="G21" s="488"/>
      <c r="H21" s="488"/>
      <c r="I21" s="488"/>
      <c r="J21" s="488"/>
      <c r="K21" s="488"/>
      <c r="L21" s="488"/>
      <c r="M21" s="488"/>
      <c r="N21" s="488"/>
      <c r="O21" s="488"/>
      <c r="P21" s="38"/>
    </row>
    <row r="22" spans="1:16" ht="18" customHeight="1" x14ac:dyDescent="0.2">
      <c r="A22" s="37"/>
      <c r="B22" s="508"/>
      <c r="C22" s="35" t="s">
        <v>2</v>
      </c>
      <c r="D22" s="488" t="str">
        <f>VLOOKUP(C16,' Datos de Organizadores '!A3:J16,4)</f>
        <v>C/ GARCIA LORCA 41 2B</v>
      </c>
      <c r="E22" s="488"/>
      <c r="F22" s="488"/>
      <c r="G22" s="488"/>
      <c r="H22" s="488"/>
      <c r="I22" s="488"/>
      <c r="J22" s="488"/>
      <c r="K22" s="488"/>
      <c r="L22" s="488"/>
      <c r="M22" s="488"/>
      <c r="N22" s="488"/>
      <c r="O22" s="488"/>
      <c r="P22" s="38"/>
    </row>
    <row r="23" spans="1:16" ht="18" customHeight="1" x14ac:dyDescent="0.2">
      <c r="A23" s="37"/>
      <c r="B23" s="508"/>
      <c r="C23" s="35" t="s">
        <v>44</v>
      </c>
      <c r="D23" s="31" t="str">
        <f>VLOOKUP(C16,' Datos de Organizadores '!A3:J16,5)</f>
        <v>04867</v>
      </c>
      <c r="E23" s="33" t="s">
        <v>20</v>
      </c>
      <c r="F23" s="509" t="str">
        <f>VLOOKUP(C16,' Datos de Organizadores '!A3:J16,6)</f>
        <v>MACAEL</v>
      </c>
      <c r="G23" s="509"/>
      <c r="H23" s="509"/>
      <c r="I23" s="509"/>
      <c r="J23" s="509"/>
      <c r="K23" s="509"/>
      <c r="L23" s="509"/>
      <c r="M23" s="509"/>
      <c r="N23" s="509"/>
      <c r="O23" s="509"/>
      <c r="P23" s="38"/>
    </row>
    <row r="24" spans="1:16" ht="18" customHeight="1" x14ac:dyDescent="0.2">
      <c r="A24" s="37"/>
      <c r="B24" s="508"/>
      <c r="C24" s="35" t="s">
        <v>27</v>
      </c>
      <c r="D24" s="509" t="str">
        <f>IF(VLOOKUP($C$16,' Datos de Organizadores '!$A$3:$J$16,7)&lt;&gt;0,"("&amp;(VLOOKUP($C$16,' Datos de Organizadores '!$A$3:$J$16,7)&amp;")"),"")</f>
        <v>(ALMERIA)</v>
      </c>
      <c r="E24" s="509"/>
      <c r="F24" s="509"/>
      <c r="G24" s="509"/>
      <c r="H24" s="509"/>
      <c r="I24" s="509"/>
      <c r="J24" s="509"/>
      <c r="K24" s="509"/>
      <c r="L24" s="509"/>
      <c r="M24" s="509"/>
      <c r="N24" s="509"/>
      <c r="O24" s="509"/>
      <c r="P24" s="38"/>
    </row>
    <row r="25" spans="1:16" ht="18" customHeight="1" x14ac:dyDescent="0.2">
      <c r="A25" s="37"/>
      <c r="B25" s="508"/>
      <c r="C25" s="35" t="s">
        <v>16</v>
      </c>
      <c r="D25" s="32">
        <f>VLOOKUP(C16,' Datos de Organizadores '!A3:J16,8)</f>
        <v>630046673</v>
      </c>
      <c r="E25" s="34" t="s">
        <v>216</v>
      </c>
      <c r="F25" s="32">
        <f>VLOOKUP(C16,' Datos de Organizadores '!A3:J14,9)</f>
        <v>0</v>
      </c>
      <c r="G25" s="34" t="s">
        <v>17</v>
      </c>
      <c r="H25" s="497" t="str">
        <f>VLOOKUP(C16,' Datos de Organizadores '!A3:J16,10)</f>
        <v>inscripciones@faa.net</v>
      </c>
      <c r="I25" s="498"/>
      <c r="J25" s="498"/>
      <c r="K25" s="498"/>
      <c r="L25" s="498"/>
      <c r="M25" s="498"/>
      <c r="N25" s="498"/>
      <c r="O25" s="498"/>
      <c r="P25" s="38"/>
    </row>
    <row r="26" spans="1:16" ht="6" customHeight="1" x14ac:dyDescent="0.2">
      <c r="A26" s="37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38"/>
    </row>
    <row r="27" spans="1:16" ht="15.75" customHeight="1" x14ac:dyDescent="0.2">
      <c r="A27" s="37"/>
      <c r="B27" s="25"/>
      <c r="C27" s="492" t="s">
        <v>14</v>
      </c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N27" s="494"/>
      <c r="O27" s="25"/>
      <c r="P27" s="38"/>
    </row>
    <row r="28" spans="1:16" ht="20.100000000000001" customHeight="1" x14ac:dyDescent="0.2">
      <c r="A28" s="37"/>
      <c r="B28" s="476" t="s">
        <v>47</v>
      </c>
      <c r="C28" s="482" t="s">
        <v>15</v>
      </c>
      <c r="D28" s="482"/>
      <c r="E28" s="482"/>
      <c r="F28" s="482"/>
      <c r="G28" s="482"/>
      <c r="H28" s="482"/>
      <c r="I28" s="483"/>
      <c r="J28" s="484" t="s">
        <v>180</v>
      </c>
      <c r="K28" s="484"/>
      <c r="L28" s="484"/>
      <c r="M28" s="484" t="s">
        <v>181</v>
      </c>
      <c r="N28" s="484"/>
      <c r="O28" s="484"/>
      <c r="P28" s="38"/>
    </row>
    <row r="29" spans="1:16" ht="20.100000000000001" customHeight="1" x14ac:dyDescent="0.2">
      <c r="A29" s="37"/>
      <c r="B29" s="476"/>
      <c r="C29" s="471" t="s">
        <v>207</v>
      </c>
      <c r="D29" s="472"/>
      <c r="E29" s="472"/>
      <c r="F29" s="472"/>
      <c r="G29" s="472"/>
      <c r="H29" s="472"/>
      <c r="I29" s="472"/>
      <c r="J29" s="478">
        <f>VLOOKUP($C$16,' Datos de Organizadores '!$A$3:$M$16,13)</f>
        <v>90</v>
      </c>
      <c r="K29" s="479"/>
      <c r="L29" s="479"/>
      <c r="M29" s="478">
        <f>Derechos1+50</f>
        <v>140</v>
      </c>
      <c r="N29" s="479"/>
      <c r="O29" s="479"/>
      <c r="P29" s="38"/>
    </row>
    <row r="30" spans="1:16" ht="18" hidden="1" customHeight="1" x14ac:dyDescent="0.2">
      <c r="A30" s="37"/>
      <c r="B30" s="476"/>
      <c r="C30" s="473" t="s">
        <v>45</v>
      </c>
      <c r="D30" s="473"/>
      <c r="E30" s="473"/>
      <c r="F30" s="473"/>
      <c r="G30" s="473"/>
      <c r="H30" s="473"/>
      <c r="I30" s="473"/>
      <c r="J30" s="478">
        <v>0</v>
      </c>
      <c r="K30" s="479"/>
      <c r="L30" s="479"/>
      <c r="M30" s="479"/>
      <c r="N30" s="479"/>
      <c r="O30" s="479"/>
      <c r="P30" s="38"/>
    </row>
    <row r="31" spans="1:16" ht="18" customHeight="1" x14ac:dyDescent="0.2">
      <c r="A31" s="37"/>
      <c r="B31" s="476"/>
      <c r="C31" s="473" t="s">
        <v>214</v>
      </c>
      <c r="D31" s="473"/>
      <c r="E31" s="473"/>
      <c r="F31" s="473"/>
      <c r="G31" s="473"/>
      <c r="H31" s="473"/>
      <c r="I31" s="473"/>
      <c r="J31" s="480">
        <f>VLOOKUP($C$16,' Datos de Organizadores '!$A$3:$M$16,12)</f>
        <v>45579</v>
      </c>
      <c r="K31" s="480"/>
      <c r="L31" s="481"/>
      <c r="M31" s="468"/>
      <c r="N31" s="469"/>
      <c r="O31" s="470"/>
      <c r="P31" s="38"/>
    </row>
    <row r="32" spans="1:16" ht="18" hidden="1" customHeight="1" x14ac:dyDescent="0.2">
      <c r="A32" s="37"/>
      <c r="B32" s="476"/>
      <c r="C32" s="473"/>
      <c r="D32" s="473"/>
      <c r="E32" s="473"/>
      <c r="F32" s="473"/>
      <c r="G32" s="473"/>
      <c r="H32" s="473"/>
      <c r="I32" s="473"/>
      <c r="J32" s="477">
        <v>0</v>
      </c>
      <c r="K32" s="477"/>
      <c r="L32" s="478"/>
      <c r="M32" s="468"/>
      <c r="N32" s="469"/>
      <c r="O32" s="470"/>
      <c r="P32" s="38"/>
    </row>
    <row r="33" spans="1:16" ht="6.75" customHeight="1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8"/>
    </row>
    <row r="34" spans="1:16" ht="20.100000000000001" customHeight="1" x14ac:dyDescent="0.2">
      <c r="A34" s="37"/>
      <c r="B34" s="474" t="s">
        <v>48</v>
      </c>
      <c r="C34" s="475"/>
      <c r="D34" s="475"/>
      <c r="E34" s="475"/>
      <c r="F34" s="475"/>
      <c r="G34" s="475"/>
      <c r="H34" s="57" t="s">
        <v>210</v>
      </c>
      <c r="I34" s="466" t="s">
        <v>213</v>
      </c>
      <c r="J34" s="467"/>
      <c r="K34" s="58" t="s">
        <v>212</v>
      </c>
      <c r="L34" s="466" t="s">
        <v>211</v>
      </c>
      <c r="M34" s="467"/>
      <c r="N34" s="467"/>
      <c r="O34" s="467"/>
      <c r="P34" s="38"/>
    </row>
  </sheetData>
  <mergeCells count="39">
    <mergeCell ref="E2:O3"/>
    <mergeCell ref="B3:C3"/>
    <mergeCell ref="B5:O5"/>
    <mergeCell ref="D9:N10"/>
    <mergeCell ref="C9:C10"/>
    <mergeCell ref="D7:N8"/>
    <mergeCell ref="C7:C8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</mergeCells>
  <phoneticPr fontId="20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69"/>
  <sheetViews>
    <sheetView zoomScale="164" zoomScaleNormal="164" workbookViewId="0">
      <pane xSplit="2" ySplit="2" topLeftCell="M9" activePane="bottomRight" state="frozen"/>
      <selection pane="topRight" activeCell="C1" sqref="C1"/>
      <selection pane="bottomLeft" activeCell="A3" sqref="A3"/>
      <selection pane="bottomRight" activeCell="Q12" sqref="Q12"/>
    </sheetView>
  </sheetViews>
  <sheetFormatPr baseColWidth="10" defaultColWidth="10.85546875" defaultRowHeight="12.75" x14ac:dyDescent="0.2"/>
  <cols>
    <col min="1" max="1" width="3.7109375" style="186" customWidth="1"/>
    <col min="2" max="2" width="31" style="135" customWidth="1"/>
    <col min="3" max="3" width="29" style="135" customWidth="1"/>
    <col min="4" max="4" width="30.28515625" style="135" customWidth="1"/>
    <col min="5" max="5" width="6.85546875" style="135" bestFit="1" customWidth="1"/>
    <col min="6" max="6" width="17.42578125" style="135" customWidth="1"/>
    <col min="7" max="7" width="10.42578125" style="135" customWidth="1"/>
    <col min="8" max="9" width="13.7109375" style="135" customWidth="1"/>
    <col min="10" max="10" width="30.85546875" style="135" customWidth="1"/>
    <col min="11" max="11" width="12.7109375" style="136" customWidth="1"/>
    <col min="12" max="12" width="25.42578125" style="136" bestFit="1" customWidth="1"/>
    <col min="13" max="13" width="13.28515625" style="136" customWidth="1"/>
    <col min="14" max="14" width="12.28515625" style="136" bestFit="1" customWidth="1"/>
    <col min="15" max="15" width="5.42578125" style="136" bestFit="1" customWidth="1"/>
    <col min="16" max="16" width="16.42578125" style="135" customWidth="1"/>
    <col min="17" max="19" width="11.7109375" style="135" customWidth="1"/>
    <col min="20" max="21" width="11.7109375" style="136" customWidth="1"/>
    <col min="22" max="22" width="11.42578125" style="136" customWidth="1"/>
    <col min="23" max="23" width="12.28515625" style="136" bestFit="1" customWidth="1"/>
    <col min="24" max="16384" width="10.85546875" style="136"/>
  </cols>
  <sheetData>
    <row r="1" spans="1:20" ht="30" customHeight="1" x14ac:dyDescent="0.2">
      <c r="A1" s="524" t="s">
        <v>32</v>
      </c>
      <c r="B1" s="524"/>
      <c r="C1" s="524"/>
      <c r="D1" s="524"/>
      <c r="E1" s="524"/>
      <c r="F1" s="524"/>
      <c r="G1" s="524"/>
      <c r="H1" s="524"/>
      <c r="I1" s="524"/>
      <c r="J1" s="524"/>
      <c r="K1" s="525" t="s">
        <v>168</v>
      </c>
      <c r="L1" s="526"/>
      <c r="M1" s="527"/>
      <c r="N1" s="144"/>
      <c r="O1" s="144"/>
    </row>
    <row r="2" spans="1:20" s="146" customFormat="1" ht="18" customHeight="1" x14ac:dyDescent="0.2">
      <c r="A2" s="184" t="s">
        <v>23</v>
      </c>
      <c r="B2" s="131" t="s">
        <v>24</v>
      </c>
      <c r="C2" s="131" t="s">
        <v>25</v>
      </c>
      <c r="D2" s="131" t="s">
        <v>2</v>
      </c>
      <c r="E2" s="131" t="s">
        <v>26</v>
      </c>
      <c r="F2" s="131" t="s">
        <v>19</v>
      </c>
      <c r="G2" s="131" t="s">
        <v>27</v>
      </c>
      <c r="H2" s="131" t="s">
        <v>16</v>
      </c>
      <c r="I2" s="131" t="s">
        <v>21</v>
      </c>
      <c r="J2" s="131" t="s">
        <v>28</v>
      </c>
      <c r="K2" s="131" t="s">
        <v>179</v>
      </c>
      <c r="L2" s="131" t="s">
        <v>180</v>
      </c>
      <c r="M2" s="131" t="s">
        <v>237</v>
      </c>
      <c r="N2" s="145"/>
      <c r="O2" s="145"/>
      <c r="P2" s="144"/>
      <c r="Q2" s="144"/>
      <c r="R2" s="144"/>
      <c r="S2" s="144"/>
    </row>
    <row r="3" spans="1:20" ht="15.75" customHeight="1" x14ac:dyDescent="0.2">
      <c r="A3" s="185">
        <v>1</v>
      </c>
      <c r="B3" s="129" t="s">
        <v>351</v>
      </c>
      <c r="C3" s="171" t="s">
        <v>332</v>
      </c>
      <c r="D3" s="172" t="s">
        <v>369</v>
      </c>
      <c r="E3" s="173" t="s">
        <v>370</v>
      </c>
      <c r="F3" s="171" t="s">
        <v>371</v>
      </c>
      <c r="G3" s="171" t="s">
        <v>336</v>
      </c>
      <c r="H3" s="172">
        <v>630046673</v>
      </c>
      <c r="I3" s="174"/>
      <c r="J3" s="136" t="s">
        <v>359</v>
      </c>
      <c r="K3" s="147">
        <v>45395</v>
      </c>
      <c r="L3" s="148">
        <f t="shared" ref="L3" si="0">K3-6</f>
        <v>45389</v>
      </c>
      <c r="M3" s="133">
        <v>90</v>
      </c>
      <c r="N3" s="142"/>
      <c r="O3" s="142"/>
      <c r="P3" s="135">
        <f>' Derechos de Inscripción '!C16</f>
        <v>10</v>
      </c>
      <c r="Q3" s="135" t="s">
        <v>37</v>
      </c>
    </row>
    <row r="4" spans="1:20" ht="15.75" customHeight="1" x14ac:dyDescent="0.2">
      <c r="A4" s="185">
        <v>2</v>
      </c>
      <c r="B4" s="129" t="s">
        <v>352</v>
      </c>
      <c r="C4" s="171" t="s">
        <v>325</v>
      </c>
      <c r="D4" s="172" t="s">
        <v>326</v>
      </c>
      <c r="E4" s="173" t="s">
        <v>327</v>
      </c>
      <c r="F4" s="171" t="s">
        <v>328</v>
      </c>
      <c r="G4" s="171" t="s">
        <v>329</v>
      </c>
      <c r="H4" s="172" t="s">
        <v>330</v>
      </c>
      <c r="I4" s="174"/>
      <c r="J4" s="136" t="s">
        <v>359</v>
      </c>
      <c r="K4" s="147">
        <v>45409</v>
      </c>
      <c r="L4" s="148">
        <f t="shared" ref="L4:L5" si="1">K4-6</f>
        <v>45403</v>
      </c>
      <c r="M4" s="133">
        <v>90</v>
      </c>
      <c r="N4" s="142"/>
      <c r="O4" s="142"/>
      <c r="P4" s="137">
        <v>1</v>
      </c>
      <c r="Q4" s="135" t="s">
        <v>38</v>
      </c>
      <c r="R4" s="135">
        <v>0</v>
      </c>
      <c r="T4" s="136" t="str">
        <f>IF(Blanco=TRUE,"¡¡¡ ATENCIÓN !!! DATOS OCULTOS","ESTADO NORMAL (Todos los datos visibles)")</f>
        <v>ESTADO NORMAL (Todos los datos visibles)</v>
      </c>
    </row>
    <row r="5" spans="1:20" ht="15.75" customHeight="1" x14ac:dyDescent="0.2">
      <c r="A5" s="185">
        <v>3</v>
      </c>
      <c r="B5" s="136" t="s">
        <v>317</v>
      </c>
      <c r="C5" s="171" t="s">
        <v>325</v>
      </c>
      <c r="D5" s="172" t="s">
        <v>326</v>
      </c>
      <c r="E5" s="173" t="s">
        <v>327</v>
      </c>
      <c r="F5" s="171" t="s">
        <v>328</v>
      </c>
      <c r="G5" s="171" t="s">
        <v>329</v>
      </c>
      <c r="H5" s="172" t="s">
        <v>330</v>
      </c>
      <c r="I5" s="174"/>
      <c r="J5" s="136" t="s">
        <v>359</v>
      </c>
      <c r="K5" s="147">
        <v>45423</v>
      </c>
      <c r="L5" s="148">
        <f t="shared" si="1"/>
        <v>45417</v>
      </c>
      <c r="M5" s="133">
        <v>90</v>
      </c>
      <c r="N5" s="142"/>
      <c r="O5" s="142"/>
      <c r="P5" s="135" t="b">
        <v>0</v>
      </c>
      <c r="Q5" s="135" t="s">
        <v>34</v>
      </c>
      <c r="R5" s="135" t="b">
        <f>IF(Blanco=TRUE,FALSE,IF(Shakedown=TRUE,#N/A,FALSE))</f>
        <v>0</v>
      </c>
      <c r="T5" s="136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0" ht="15.75" customHeight="1" x14ac:dyDescent="0.2">
      <c r="A6" s="185">
        <v>4</v>
      </c>
      <c r="B6" s="136" t="s">
        <v>318</v>
      </c>
      <c r="C6" s="129" t="s">
        <v>308</v>
      </c>
      <c r="D6" s="129" t="s">
        <v>309</v>
      </c>
      <c r="E6" s="129">
        <v>29006</v>
      </c>
      <c r="F6" s="129" t="s">
        <v>261</v>
      </c>
      <c r="G6" s="129" t="s">
        <v>261</v>
      </c>
      <c r="H6" s="129">
        <v>607865525</v>
      </c>
      <c r="I6" s="132"/>
      <c r="J6" s="136" t="s">
        <v>359</v>
      </c>
      <c r="K6" s="147">
        <v>45438</v>
      </c>
      <c r="L6" s="148">
        <f>K6-6</f>
        <v>45432</v>
      </c>
      <c r="M6" s="133">
        <v>90</v>
      </c>
      <c r="N6" s="142"/>
      <c r="O6" s="142"/>
    </row>
    <row r="7" spans="1:20" ht="15.75" customHeight="1" x14ac:dyDescent="0.2">
      <c r="A7" s="185">
        <v>5</v>
      </c>
      <c r="B7" s="128" t="s">
        <v>319</v>
      </c>
      <c r="C7" s="171" t="s">
        <v>325</v>
      </c>
      <c r="D7" s="172" t="s">
        <v>326</v>
      </c>
      <c r="E7" s="173" t="s">
        <v>327</v>
      </c>
      <c r="F7" s="171" t="s">
        <v>328</v>
      </c>
      <c r="G7" s="171" t="s">
        <v>329</v>
      </c>
      <c r="H7" s="172" t="s">
        <v>330</v>
      </c>
      <c r="I7" s="174"/>
      <c r="J7" s="136" t="s">
        <v>359</v>
      </c>
      <c r="K7" s="147">
        <v>45451</v>
      </c>
      <c r="L7" s="148">
        <f t="shared" ref="L7:L14" si="2">K7-6</f>
        <v>45445</v>
      </c>
      <c r="M7" s="133">
        <v>90</v>
      </c>
      <c r="N7" s="142"/>
      <c r="O7" s="142"/>
      <c r="P7" s="135" t="b">
        <v>0</v>
      </c>
      <c r="Q7" s="135" t="s">
        <v>35</v>
      </c>
      <c r="R7" s="135" t="b">
        <f>IF(Blanco=TRUE,FALSE,IF(Ouvreur=TRUE,#N/A,FALSE))</f>
        <v>0</v>
      </c>
    </row>
    <row r="8" spans="1:20" ht="15.75" customHeight="1" x14ac:dyDescent="0.2">
      <c r="A8" s="185">
        <v>6</v>
      </c>
      <c r="B8" s="136" t="s">
        <v>353</v>
      </c>
      <c r="C8" s="136" t="s">
        <v>355</v>
      </c>
      <c r="D8" s="136" t="s">
        <v>356</v>
      </c>
      <c r="E8" s="136">
        <v>18200</v>
      </c>
      <c r="F8" s="136" t="s">
        <v>357</v>
      </c>
      <c r="G8" s="136" t="s">
        <v>358</v>
      </c>
      <c r="H8" s="136">
        <v>637753716</v>
      </c>
      <c r="I8" s="136"/>
      <c r="J8" s="136" t="s">
        <v>359</v>
      </c>
      <c r="K8" s="147">
        <v>45465</v>
      </c>
      <c r="L8" s="148">
        <f t="shared" si="2"/>
        <v>45459</v>
      </c>
      <c r="M8" s="133">
        <v>90</v>
      </c>
      <c r="N8" s="142"/>
      <c r="O8" s="142"/>
      <c r="P8" s="135" t="b">
        <v>0</v>
      </c>
      <c r="Q8" s="135" t="s">
        <v>36</v>
      </c>
      <c r="R8" s="135" t="b">
        <f>IF(Blanco=TRUE,FALSE,IF(Auxiliar=TRUE,#N/A,FALSE))</f>
        <v>0</v>
      </c>
    </row>
    <row r="9" spans="1:20" ht="15.75" customHeight="1" x14ac:dyDescent="0.2">
      <c r="A9" s="185">
        <v>7</v>
      </c>
      <c r="B9" s="129" t="s">
        <v>343</v>
      </c>
      <c r="C9" s="136" t="s">
        <v>344</v>
      </c>
      <c r="D9" s="136" t="s">
        <v>345</v>
      </c>
      <c r="E9" s="136">
        <v>14730</v>
      </c>
      <c r="F9" s="136" t="s">
        <v>346</v>
      </c>
      <c r="G9" s="136" t="s">
        <v>347</v>
      </c>
      <c r="H9" s="180" t="s">
        <v>348</v>
      </c>
      <c r="I9" s="136"/>
      <c r="J9" s="136" t="s">
        <v>359</v>
      </c>
      <c r="K9" s="147">
        <v>45480</v>
      </c>
      <c r="L9" s="148">
        <f t="shared" si="2"/>
        <v>45474</v>
      </c>
      <c r="M9" s="133">
        <v>90</v>
      </c>
      <c r="N9" s="149"/>
      <c r="O9" s="149"/>
      <c r="P9" s="135" t="b">
        <v>0</v>
      </c>
      <c r="Q9" s="135" t="s">
        <v>208</v>
      </c>
      <c r="R9" s="135" t="b">
        <f>IF(Blanco=TRUE,FALSE,IF(Trofeo7=TRUE,#N/A,FALSE))</f>
        <v>0</v>
      </c>
    </row>
    <row r="10" spans="1:20" ht="15.75" customHeight="1" x14ac:dyDescent="0.2">
      <c r="A10" s="185">
        <v>8</v>
      </c>
      <c r="B10" s="129" t="s">
        <v>321</v>
      </c>
      <c r="C10" s="129" t="s">
        <v>308</v>
      </c>
      <c r="D10" s="129" t="s">
        <v>309</v>
      </c>
      <c r="E10" s="129">
        <v>29006</v>
      </c>
      <c r="F10" s="129" t="s">
        <v>261</v>
      </c>
      <c r="G10" s="129" t="s">
        <v>261</v>
      </c>
      <c r="H10" s="129">
        <v>607865525</v>
      </c>
      <c r="I10" s="132"/>
      <c r="J10" s="136" t="s">
        <v>359</v>
      </c>
      <c r="K10" s="147">
        <v>45557</v>
      </c>
      <c r="L10" s="148">
        <f t="shared" si="2"/>
        <v>45551</v>
      </c>
      <c r="M10" s="133">
        <v>90</v>
      </c>
      <c r="N10" s="149"/>
      <c r="O10" s="149"/>
      <c r="P10" s="135" t="b">
        <v>1</v>
      </c>
      <c r="Q10" s="135" t="s">
        <v>209</v>
      </c>
      <c r="R10" s="135" t="e">
        <f>IF(Blanco=TRUE,FALSE,IF(Trofeo8=TRUE,#N/A,FALSE))</f>
        <v>#N/A</v>
      </c>
    </row>
    <row r="11" spans="1:20" ht="15.75" customHeight="1" x14ac:dyDescent="0.2">
      <c r="A11" s="185">
        <v>9</v>
      </c>
      <c r="B11" s="137" t="s">
        <v>360</v>
      </c>
      <c r="C11" s="129" t="s">
        <v>308</v>
      </c>
      <c r="D11" s="129" t="s">
        <v>309</v>
      </c>
      <c r="E11" s="129">
        <v>29006</v>
      </c>
      <c r="F11" s="129" t="s">
        <v>261</v>
      </c>
      <c r="G11" s="129" t="s">
        <v>261</v>
      </c>
      <c r="H11" s="129">
        <v>607865525</v>
      </c>
      <c r="I11" s="132"/>
      <c r="J11" s="136" t="s">
        <v>359</v>
      </c>
      <c r="K11" s="147">
        <v>45571</v>
      </c>
      <c r="L11" s="148">
        <f t="shared" si="2"/>
        <v>45565</v>
      </c>
      <c r="M11" s="133">
        <v>90</v>
      </c>
      <c r="N11" s="149"/>
      <c r="O11" s="149"/>
      <c r="P11" s="135" t="b">
        <v>0</v>
      </c>
      <c r="Q11" s="135" t="s">
        <v>166</v>
      </c>
      <c r="R11" s="135" t="b">
        <f>IF(Blanco=TRUE,FALSE,IF(Trofeo9=TRUE,#N/A,FALSE))</f>
        <v>0</v>
      </c>
    </row>
    <row r="12" spans="1:20" ht="15.75" customHeight="1" x14ac:dyDescent="0.2">
      <c r="A12" s="185">
        <v>10</v>
      </c>
      <c r="B12" s="137" t="s">
        <v>372</v>
      </c>
      <c r="C12" s="129" t="s">
        <v>373</v>
      </c>
      <c r="D12" s="129" t="s">
        <v>369</v>
      </c>
      <c r="E12" s="129" t="s">
        <v>370</v>
      </c>
      <c r="F12" s="129" t="s">
        <v>371</v>
      </c>
      <c r="G12" s="129" t="s">
        <v>336</v>
      </c>
      <c r="H12" s="129">
        <v>630046673</v>
      </c>
      <c r="I12" s="132"/>
      <c r="J12" s="136" t="s">
        <v>359</v>
      </c>
      <c r="K12" s="147">
        <v>45584</v>
      </c>
      <c r="L12" s="148">
        <v>45579</v>
      </c>
      <c r="M12" s="133">
        <v>90</v>
      </c>
      <c r="N12" s="149"/>
      <c r="O12" s="149"/>
      <c r="P12" s="135">
        <v>10</v>
      </c>
      <c r="Q12" s="135" t="s">
        <v>37</v>
      </c>
    </row>
    <row r="13" spans="1:20" x14ac:dyDescent="0.2">
      <c r="A13" s="185">
        <v>11</v>
      </c>
      <c r="B13" s="137" t="s">
        <v>322</v>
      </c>
      <c r="C13" s="129" t="s">
        <v>308</v>
      </c>
      <c r="D13" s="129" t="s">
        <v>309</v>
      </c>
      <c r="E13" s="129">
        <v>29006</v>
      </c>
      <c r="F13" s="129" t="s">
        <v>261</v>
      </c>
      <c r="G13" s="129" t="s">
        <v>261</v>
      </c>
      <c r="H13" s="129">
        <v>607865525</v>
      </c>
      <c r="I13" s="132"/>
      <c r="J13" s="136" t="s">
        <v>359</v>
      </c>
      <c r="K13" s="147">
        <v>45599</v>
      </c>
      <c r="L13" s="148">
        <f t="shared" si="2"/>
        <v>45593</v>
      </c>
      <c r="M13" s="133">
        <v>90</v>
      </c>
      <c r="P13" s="135" t="b">
        <v>0</v>
      </c>
      <c r="Q13" s="135" t="s">
        <v>39</v>
      </c>
      <c r="R13" s="135" t="b">
        <f>IF(Blanco=TRUE,FALSE,IF(España=TRUE,#N/A,FALSE))</f>
        <v>0</v>
      </c>
    </row>
    <row r="14" spans="1:20" ht="15" x14ac:dyDescent="0.2">
      <c r="A14" s="185">
        <v>12</v>
      </c>
      <c r="B14" s="137" t="s">
        <v>354</v>
      </c>
      <c r="C14" s="171" t="s">
        <v>373</v>
      </c>
      <c r="D14" s="172" t="s">
        <v>369</v>
      </c>
      <c r="E14" s="173" t="s">
        <v>370</v>
      </c>
      <c r="F14" s="171" t="s">
        <v>371</v>
      </c>
      <c r="G14" s="171" t="s">
        <v>336</v>
      </c>
      <c r="H14" s="172">
        <v>630046673</v>
      </c>
      <c r="I14" s="174"/>
      <c r="J14" s="136" t="s">
        <v>359</v>
      </c>
      <c r="K14" s="147">
        <v>45619</v>
      </c>
      <c r="L14" s="148">
        <f t="shared" si="2"/>
        <v>45613</v>
      </c>
      <c r="M14" s="133">
        <v>90</v>
      </c>
      <c r="P14" s="135" t="b">
        <v>0</v>
      </c>
      <c r="Q14" s="135" t="s">
        <v>40</v>
      </c>
      <c r="R14" s="135" t="b">
        <f>IF(Blanco=TRUE,FALSE,IF(Autonomico=TRUE,#N/A,FALSE))</f>
        <v>0</v>
      </c>
    </row>
    <row r="15" spans="1:20" ht="15" x14ac:dyDescent="0.25">
      <c r="A15" s="185">
        <v>13</v>
      </c>
      <c r="B15" s="129" t="s">
        <v>324</v>
      </c>
      <c r="C15" s="171" t="s">
        <v>338</v>
      </c>
      <c r="D15" s="171" t="s">
        <v>339</v>
      </c>
      <c r="E15" s="173" t="s">
        <v>340</v>
      </c>
      <c r="F15" s="171" t="s">
        <v>341</v>
      </c>
      <c r="G15" s="171" t="s">
        <v>329</v>
      </c>
      <c r="H15" s="176">
        <v>619054318</v>
      </c>
      <c r="I15" s="177"/>
      <c r="J15" s="136" t="s">
        <v>359</v>
      </c>
      <c r="K15" s="147">
        <v>45640</v>
      </c>
      <c r="L15" s="148">
        <f t="shared" ref="L15" si="3">K15-6</f>
        <v>45634</v>
      </c>
      <c r="M15" s="133">
        <v>90</v>
      </c>
      <c r="P15" s="135" t="b">
        <v>0</v>
      </c>
      <c r="Q15" s="135" t="s">
        <v>41</v>
      </c>
      <c r="R15" s="135" t="b">
        <f>IF(Blanco=TRUE,FALSE,IF(Clasicos=TRUE,#N/A,FALSE))</f>
        <v>0</v>
      </c>
    </row>
    <row r="16" spans="1:20" x14ac:dyDescent="0.2">
      <c r="A16" s="185"/>
      <c r="L16" s="148"/>
      <c r="M16" s="133"/>
      <c r="P16" s="137" t="b">
        <v>0</v>
      </c>
      <c r="Q16" s="135" t="s">
        <v>53</v>
      </c>
    </row>
    <row r="17" spans="2:24" x14ac:dyDescent="0.2">
      <c r="P17" s="135" t="b">
        <v>0</v>
      </c>
      <c r="Q17" s="135" t="s">
        <v>167</v>
      </c>
      <c r="R17" s="135" t="str">
        <f>IF(IVA=TRUE,16/100,"")</f>
        <v/>
      </c>
    </row>
    <row r="18" spans="2:24" x14ac:dyDescent="0.2">
      <c r="P18" s="135">
        <v>2</v>
      </c>
      <c r="Q18" s="135" t="s">
        <v>42</v>
      </c>
    </row>
    <row r="20" spans="2:24" x14ac:dyDescent="0.2">
      <c r="P20" s="135">
        <v>1</v>
      </c>
      <c r="Q20" s="135">
        <v>1</v>
      </c>
      <c r="R20" s="135" t="s">
        <v>184</v>
      </c>
      <c r="T20" s="136" t="s">
        <v>189</v>
      </c>
    </row>
    <row r="21" spans="2:24" x14ac:dyDescent="0.2">
      <c r="B21" s="129" t="s">
        <v>350</v>
      </c>
      <c r="C21" s="129" t="s">
        <v>308</v>
      </c>
      <c r="D21" s="129" t="s">
        <v>309</v>
      </c>
      <c r="E21" s="129">
        <v>29006</v>
      </c>
      <c r="F21" s="129" t="s">
        <v>261</v>
      </c>
      <c r="G21" s="129" t="s">
        <v>261</v>
      </c>
      <c r="H21" s="129">
        <v>607865525</v>
      </c>
      <c r="I21" s="132"/>
      <c r="J21" s="170" t="s">
        <v>310</v>
      </c>
      <c r="K21" s="147">
        <v>45352</v>
      </c>
      <c r="L21" s="148">
        <f>K21-6</f>
        <v>45346</v>
      </c>
      <c r="M21" s="133">
        <v>90</v>
      </c>
      <c r="Q21" s="135">
        <v>2</v>
      </c>
      <c r="R21" s="135" t="s">
        <v>185</v>
      </c>
      <c r="T21" s="136" t="s">
        <v>190</v>
      </c>
    </row>
    <row r="22" spans="2:24" ht="15" x14ac:dyDescent="0.2">
      <c r="B22" s="129" t="s">
        <v>320</v>
      </c>
      <c r="C22" s="171" t="s">
        <v>325</v>
      </c>
      <c r="D22" s="172" t="s">
        <v>326</v>
      </c>
      <c r="E22" s="173" t="s">
        <v>327</v>
      </c>
      <c r="F22" s="171" t="s">
        <v>328</v>
      </c>
      <c r="G22" s="171" t="s">
        <v>329</v>
      </c>
      <c r="H22" s="172" t="s">
        <v>330</v>
      </c>
      <c r="I22" s="174"/>
      <c r="J22" s="175" t="s">
        <v>331</v>
      </c>
      <c r="K22" s="147">
        <v>45352</v>
      </c>
      <c r="L22" s="148">
        <f t="shared" ref="L22:L25" si="4">K22-6</f>
        <v>45346</v>
      </c>
      <c r="M22" s="133">
        <v>90</v>
      </c>
      <c r="Q22" s="135">
        <v>3</v>
      </c>
      <c r="R22" s="135" t="s">
        <v>186</v>
      </c>
      <c r="T22" s="136" t="s">
        <v>191</v>
      </c>
    </row>
    <row r="23" spans="2:24" ht="15" x14ac:dyDescent="0.25">
      <c r="B23" s="137" t="s">
        <v>324</v>
      </c>
      <c r="C23" s="171" t="s">
        <v>338</v>
      </c>
      <c r="D23" s="171" t="s">
        <v>339</v>
      </c>
      <c r="E23" s="173" t="s">
        <v>340</v>
      </c>
      <c r="F23" s="171" t="s">
        <v>341</v>
      </c>
      <c r="G23" s="171" t="s">
        <v>329</v>
      </c>
      <c r="H23" s="176">
        <v>619054318</v>
      </c>
      <c r="I23" s="177"/>
      <c r="J23" s="178" t="s">
        <v>342</v>
      </c>
      <c r="K23" s="147">
        <v>45352</v>
      </c>
      <c r="L23" s="148">
        <f t="shared" si="4"/>
        <v>45346</v>
      </c>
      <c r="M23" s="133">
        <v>90</v>
      </c>
      <c r="Q23" s="135">
        <v>4</v>
      </c>
      <c r="R23" s="135" t="s">
        <v>187</v>
      </c>
      <c r="T23" s="136" t="s">
        <v>192</v>
      </c>
    </row>
    <row r="24" spans="2:24" ht="15" x14ac:dyDescent="0.2">
      <c r="B24" s="137" t="s">
        <v>323</v>
      </c>
      <c r="C24" s="171" t="s">
        <v>332</v>
      </c>
      <c r="D24" s="172" t="s">
        <v>333</v>
      </c>
      <c r="E24" s="173" t="s">
        <v>334</v>
      </c>
      <c r="F24" s="171" t="s">
        <v>335</v>
      </c>
      <c r="G24" s="171" t="s">
        <v>336</v>
      </c>
      <c r="H24" s="172">
        <v>651863982</v>
      </c>
      <c r="I24" s="174"/>
      <c r="J24" s="175" t="s">
        <v>337</v>
      </c>
      <c r="K24" s="147">
        <v>45352</v>
      </c>
      <c r="L24" s="148">
        <f t="shared" si="4"/>
        <v>45346</v>
      </c>
      <c r="M24" s="133">
        <v>90</v>
      </c>
      <c r="Q24" s="135">
        <v>5</v>
      </c>
      <c r="R24" s="135" t="s">
        <v>188</v>
      </c>
      <c r="T24" s="136" t="s">
        <v>193</v>
      </c>
    </row>
    <row r="25" spans="2:24" x14ac:dyDescent="0.2">
      <c r="B25" s="136" t="s">
        <v>343</v>
      </c>
      <c r="C25" s="136" t="s">
        <v>344</v>
      </c>
      <c r="D25" s="136" t="s">
        <v>345</v>
      </c>
      <c r="E25" s="136">
        <v>14730</v>
      </c>
      <c r="F25" s="136" t="s">
        <v>346</v>
      </c>
      <c r="G25" s="136" t="s">
        <v>347</v>
      </c>
      <c r="H25" s="180" t="s">
        <v>348</v>
      </c>
      <c r="I25" s="136"/>
      <c r="J25" s="181" t="s">
        <v>349</v>
      </c>
      <c r="K25" s="147">
        <v>45352</v>
      </c>
      <c r="L25" s="148">
        <f t="shared" si="4"/>
        <v>45346</v>
      </c>
      <c r="M25" s="133">
        <v>90</v>
      </c>
    </row>
    <row r="27" spans="2:24" x14ac:dyDescent="0.2">
      <c r="N27" s="151">
        <v>1</v>
      </c>
      <c r="O27" s="151" t="s">
        <v>202</v>
      </c>
      <c r="P27" s="151"/>
    </row>
    <row r="28" spans="2:24" x14ac:dyDescent="0.2">
      <c r="N28" s="151"/>
      <c r="O28" s="152"/>
      <c r="P28" s="151"/>
    </row>
    <row r="29" spans="2:24" x14ac:dyDescent="0.2">
      <c r="N29" s="151"/>
      <c r="O29" s="152"/>
      <c r="P29" s="151"/>
      <c r="V29" s="153" t="s">
        <v>220</v>
      </c>
      <c r="W29" s="153">
        <v>1</v>
      </c>
      <c r="X29" s="153"/>
    </row>
    <row r="30" spans="2:24" x14ac:dyDescent="0.2">
      <c r="F30" s="137"/>
      <c r="L30" s="150"/>
      <c r="M30" s="137"/>
      <c r="P30" s="154" t="s">
        <v>12</v>
      </c>
      <c r="Q30" s="145" t="s">
        <v>12</v>
      </c>
      <c r="R30" s="135" t="s">
        <v>299</v>
      </c>
      <c r="V30" s="153">
        <v>1</v>
      </c>
      <c r="W30" s="153" t="s">
        <v>231</v>
      </c>
      <c r="X30" s="153"/>
    </row>
    <row r="31" spans="2:24" x14ac:dyDescent="0.2">
      <c r="P31" s="155">
        <v>1</v>
      </c>
      <c r="Q31" s="156" t="str">
        <f>VLOOKUP(P31,K41:M60,3)</f>
        <v xml:space="preserve"> </v>
      </c>
      <c r="R31" s="157">
        <f>' Boletín de Inscripción '!$AA$51</f>
        <v>0</v>
      </c>
      <c r="V31" s="153">
        <v>2</v>
      </c>
      <c r="W31" s="153" t="s">
        <v>222</v>
      </c>
      <c r="X31" s="153" t="s">
        <v>198</v>
      </c>
    </row>
    <row r="32" spans="2:24" x14ac:dyDescent="0.2">
      <c r="P32" s="158" t="s">
        <v>217</v>
      </c>
      <c r="R32" s="135" t="str">
        <f>IF(R31&lt;=39,"AGRUPACIÓN I",IF(R31&lt;=59,"AGRUPACIÓN II",IF(R31&lt;=79,"AGRUPACIÓN III",IF(R31&lt;=99,"AGRUPACIÓN IV",IF(R31&lt;=119,"AGRUPACIÓN V",IF(R31&lt;=139,"AGRUPACIÓN VI",IF(R31&lt;=159,"AGRUPACIÓN VII",IF(R31&lt;=174,"AGRUPACIÓN VIII",IF(R31&lt;=199,"AGRUPACIÓN IX","AGRUPACIÓN X")))))))))</f>
        <v>AGRUPACIÓN I</v>
      </c>
      <c r="V32" s="153">
        <v>3</v>
      </c>
      <c r="W32" s="153" t="s">
        <v>223</v>
      </c>
      <c r="X32" s="153" t="s">
        <v>197</v>
      </c>
    </row>
    <row r="33" spans="2:24" x14ac:dyDescent="0.2">
      <c r="J33" s="159"/>
      <c r="K33" s="142"/>
      <c r="L33" s="150"/>
      <c r="M33" s="137"/>
      <c r="P33" s="158">
        <f>VLOOKUP(P31,K41:O60,4)</f>
        <v>0</v>
      </c>
      <c r="V33" s="153">
        <v>4</v>
      </c>
      <c r="W33" s="153" t="s">
        <v>224</v>
      </c>
      <c r="X33" s="153" t="s">
        <v>218</v>
      </c>
    </row>
    <row r="34" spans="2:24" x14ac:dyDescent="0.2">
      <c r="P34" s="160" t="s">
        <v>234</v>
      </c>
      <c r="V34" s="153">
        <v>5</v>
      </c>
      <c r="W34" s="153" t="s">
        <v>225</v>
      </c>
      <c r="X34" s="153" t="s">
        <v>219</v>
      </c>
    </row>
    <row r="35" spans="2:24" x14ac:dyDescent="0.2">
      <c r="B35" s="137"/>
      <c r="C35" s="137"/>
      <c r="D35" s="137"/>
      <c r="E35" s="139"/>
      <c r="F35" s="137"/>
      <c r="G35" s="137"/>
      <c r="H35" s="132"/>
      <c r="I35" s="132"/>
      <c r="J35" s="143"/>
      <c r="L35" s="148"/>
      <c r="M35" s="137"/>
      <c r="P35" s="153">
        <f>IF(cc&lt;=1400,1,IF(cc&lt;=1600,2,IF(cc&lt;=2000,3,IF(cc&lt;=3500,4,5))))</f>
        <v>1</v>
      </c>
      <c r="V35" s="153">
        <v>6</v>
      </c>
      <c r="W35" s="153" t="s">
        <v>226</v>
      </c>
      <c r="X35" s="153" t="s">
        <v>189</v>
      </c>
    </row>
    <row r="36" spans="2:24" x14ac:dyDescent="0.2">
      <c r="C36" s="137"/>
      <c r="D36" s="138"/>
      <c r="E36" s="139"/>
      <c r="F36" s="137"/>
      <c r="G36" s="137"/>
      <c r="H36" s="138"/>
      <c r="I36" s="134"/>
      <c r="J36" s="140"/>
      <c r="P36" s="160" t="s">
        <v>235</v>
      </c>
      <c r="V36" s="153">
        <v>7</v>
      </c>
      <c r="W36" s="153" t="s">
        <v>227</v>
      </c>
      <c r="X36" s="153" t="s">
        <v>190</v>
      </c>
    </row>
    <row r="37" spans="2:24" x14ac:dyDescent="0.2">
      <c r="B37" s="137"/>
      <c r="C37" s="137"/>
      <c r="D37" s="141"/>
      <c r="E37" s="139"/>
      <c r="F37" s="137"/>
      <c r="G37" s="137"/>
      <c r="H37" s="141"/>
      <c r="I37" s="134"/>
      <c r="J37" s="130"/>
      <c r="P37" s="153">
        <f>DIVISION</f>
        <v>1</v>
      </c>
      <c r="Q37" s="135">
        <f>IF(AGRUP="AGRUPACIÓN I",IF(cc&lt;=1400,1,2),IF(AGRUP="AGRUPACIÓN III",IF(cc&lt;=2000,1,2),DIVISION))</f>
        <v>1</v>
      </c>
      <c r="V37" s="153">
        <v>8</v>
      </c>
      <c r="W37" s="153" t="s">
        <v>228</v>
      </c>
      <c r="X37" s="153" t="s">
        <v>192</v>
      </c>
    </row>
    <row r="38" spans="2:24" x14ac:dyDescent="0.2">
      <c r="P38" s="153" t="s">
        <v>206</v>
      </c>
      <c r="V38" s="153">
        <v>9</v>
      </c>
      <c r="W38" s="153" t="s">
        <v>229</v>
      </c>
      <c r="X38" s="153" t="s">
        <v>203</v>
      </c>
    </row>
    <row r="39" spans="2:24" x14ac:dyDescent="0.2">
      <c r="P39" s="153" t="str">
        <f>IF(P33=0,"",IF(P33="AGRUPACIÓN II",VLOOKUP(P33,$P$41:$U$55,MATCH(DIVISION,$P$40:$U$40,0),0),VLOOKUP(P33,$P$41:$U$55,MATCH(DHF,$P$40:$U$40,0),0)))</f>
        <v/>
      </c>
      <c r="Q39" s="144">
        <v>1400</v>
      </c>
      <c r="R39" s="146">
        <v>1600</v>
      </c>
      <c r="S39" s="146">
        <v>2000</v>
      </c>
      <c r="T39" s="146">
        <v>3500</v>
      </c>
      <c r="U39" s="161" t="s">
        <v>260</v>
      </c>
      <c r="V39" s="153">
        <v>10</v>
      </c>
      <c r="W39" s="153" t="s">
        <v>230</v>
      </c>
      <c r="X39" s="153" t="s">
        <v>204</v>
      </c>
    </row>
    <row r="40" spans="2:24" x14ac:dyDescent="0.2">
      <c r="K40" s="162"/>
      <c r="L40" s="162" t="s">
        <v>12</v>
      </c>
      <c r="M40" s="162"/>
      <c r="N40" s="135"/>
      <c r="P40" s="162"/>
      <c r="Q40" s="163">
        <v>1</v>
      </c>
      <c r="R40" s="163">
        <v>2</v>
      </c>
      <c r="S40" s="163">
        <v>3</v>
      </c>
      <c r="T40" s="164">
        <v>4</v>
      </c>
      <c r="U40" s="164">
        <v>5</v>
      </c>
    </row>
    <row r="41" spans="2:24" x14ac:dyDescent="0.2">
      <c r="K41" s="162">
        <v>1</v>
      </c>
      <c r="L41" s="162" t="s">
        <v>199</v>
      </c>
      <c r="M41" s="162" t="s">
        <v>33</v>
      </c>
      <c r="P41" s="165" t="s">
        <v>302</v>
      </c>
      <c r="Q41" s="162" t="s">
        <v>189</v>
      </c>
      <c r="R41" s="162" t="s">
        <v>190</v>
      </c>
      <c r="S41" s="162" t="s">
        <v>192</v>
      </c>
      <c r="T41" s="165" t="s">
        <v>203</v>
      </c>
      <c r="U41" s="165" t="s">
        <v>203</v>
      </c>
    </row>
    <row r="42" spans="2:24" x14ac:dyDescent="0.2">
      <c r="K42" s="162">
        <v>2</v>
      </c>
      <c r="L42" s="162" t="s">
        <v>311</v>
      </c>
      <c r="M42" s="162" t="s">
        <v>312</v>
      </c>
      <c r="N42" s="165" t="s">
        <v>313</v>
      </c>
      <c r="O42" s="165"/>
      <c r="P42" s="165" t="s">
        <v>303</v>
      </c>
      <c r="Q42" s="162" t="s">
        <v>205</v>
      </c>
      <c r="R42" s="162" t="s">
        <v>205</v>
      </c>
      <c r="S42" s="162" t="s">
        <v>205</v>
      </c>
      <c r="T42" s="165" t="s">
        <v>305</v>
      </c>
      <c r="U42" s="165" t="s">
        <v>305</v>
      </c>
    </row>
    <row r="43" spans="2:24" x14ac:dyDescent="0.2">
      <c r="K43" s="162">
        <v>3</v>
      </c>
      <c r="L43" s="162" t="s">
        <v>314</v>
      </c>
      <c r="M43" s="162" t="s">
        <v>315</v>
      </c>
      <c r="N43" s="165" t="s">
        <v>316</v>
      </c>
      <c r="O43" s="165"/>
      <c r="P43" s="165" t="s">
        <v>304</v>
      </c>
      <c r="Q43" s="162" t="s">
        <v>204</v>
      </c>
      <c r="R43" s="162" t="s">
        <v>204</v>
      </c>
      <c r="S43" s="162" t="s">
        <v>204</v>
      </c>
      <c r="T43" s="162" t="s">
        <v>204</v>
      </c>
      <c r="U43" s="162" t="s">
        <v>204</v>
      </c>
    </row>
    <row r="44" spans="2:24" x14ac:dyDescent="0.2">
      <c r="K44" s="162">
        <v>4</v>
      </c>
      <c r="L44" s="162"/>
      <c r="M44" s="162"/>
      <c r="N44" s="165"/>
      <c r="O44" s="165"/>
      <c r="P44" s="165"/>
      <c r="Q44" s="162"/>
      <c r="R44" s="162"/>
      <c r="S44" s="162"/>
      <c r="T44" s="162"/>
      <c r="U44" s="162"/>
    </row>
    <row r="45" spans="2:24" x14ac:dyDescent="0.2">
      <c r="K45" s="162">
        <v>5</v>
      </c>
      <c r="L45" s="162"/>
      <c r="M45" s="162"/>
      <c r="N45" s="165"/>
      <c r="O45" s="165"/>
      <c r="P45" s="165"/>
      <c r="Q45" s="162"/>
      <c r="R45" s="162"/>
      <c r="S45" s="162"/>
      <c r="T45" s="162"/>
      <c r="U45" s="162"/>
    </row>
    <row r="46" spans="2:24" x14ac:dyDescent="0.2">
      <c r="K46" s="162">
        <v>6</v>
      </c>
      <c r="L46" s="162"/>
      <c r="M46" s="162"/>
      <c r="N46" s="165"/>
      <c r="O46" s="165"/>
      <c r="P46" s="165"/>
      <c r="Q46" s="162"/>
      <c r="R46" s="162"/>
      <c r="S46" s="162"/>
      <c r="T46" s="162"/>
      <c r="U46" s="162"/>
    </row>
    <row r="47" spans="2:24" x14ac:dyDescent="0.2">
      <c r="K47" s="162">
        <v>7</v>
      </c>
      <c r="L47" s="162"/>
      <c r="M47" s="162"/>
      <c r="N47" s="165"/>
      <c r="O47" s="165"/>
      <c r="P47" s="165"/>
      <c r="Q47" s="162"/>
      <c r="R47" s="162"/>
      <c r="S47" s="162"/>
      <c r="T47" s="162"/>
      <c r="U47" s="162"/>
    </row>
    <row r="48" spans="2:24" x14ac:dyDescent="0.2">
      <c r="K48" s="162">
        <v>8</v>
      </c>
      <c r="L48" s="162"/>
      <c r="M48" s="162"/>
      <c r="N48" s="165"/>
      <c r="O48" s="165"/>
      <c r="P48" s="165"/>
      <c r="Q48" s="162"/>
      <c r="R48" s="162"/>
      <c r="S48" s="162"/>
      <c r="T48" s="162"/>
      <c r="U48" s="162"/>
    </row>
    <row r="49" spans="11:22" x14ac:dyDescent="0.2">
      <c r="K49" s="162">
        <v>9</v>
      </c>
      <c r="L49" s="162"/>
      <c r="M49" s="162"/>
      <c r="N49" s="165"/>
      <c r="O49" s="165"/>
      <c r="P49" s="165"/>
      <c r="Q49" s="162"/>
      <c r="R49" s="162"/>
      <c r="S49" s="162"/>
      <c r="T49" s="162"/>
      <c r="U49" s="162"/>
    </row>
    <row r="50" spans="11:22" x14ac:dyDescent="0.2">
      <c r="K50" s="162">
        <v>10</v>
      </c>
      <c r="L50" s="162"/>
      <c r="M50" s="162"/>
      <c r="N50" s="165"/>
      <c r="O50" s="165"/>
      <c r="P50" s="165"/>
      <c r="Q50" s="165"/>
      <c r="R50" s="165"/>
      <c r="S50" s="165"/>
      <c r="T50" s="162"/>
      <c r="U50" s="162"/>
    </row>
    <row r="51" spans="11:22" x14ac:dyDescent="0.2">
      <c r="K51" s="162">
        <v>11</v>
      </c>
      <c r="L51" s="162"/>
      <c r="M51" s="162"/>
      <c r="N51" s="166"/>
      <c r="O51" s="165"/>
      <c r="P51" s="166"/>
      <c r="Q51" s="165"/>
      <c r="R51" s="165"/>
      <c r="S51" s="162"/>
      <c r="T51" s="162"/>
      <c r="U51" s="162"/>
    </row>
    <row r="52" spans="11:22" x14ac:dyDescent="0.2">
      <c r="K52" s="162">
        <v>12</v>
      </c>
      <c r="L52" s="162"/>
      <c r="M52" s="162"/>
      <c r="N52" s="165"/>
      <c r="O52" s="165"/>
      <c r="P52" s="166"/>
      <c r="Q52" s="165"/>
      <c r="R52" s="165"/>
      <c r="S52" s="165"/>
      <c r="T52" s="165"/>
      <c r="U52" s="165"/>
    </row>
    <row r="53" spans="11:22" x14ac:dyDescent="0.2">
      <c r="K53" s="162">
        <v>13</v>
      </c>
      <c r="L53" s="162"/>
      <c r="M53" s="162"/>
      <c r="N53" s="165"/>
      <c r="O53" s="165"/>
      <c r="P53" s="166"/>
      <c r="Q53" s="165"/>
      <c r="R53" s="165"/>
      <c r="S53" s="165"/>
      <c r="T53" s="165"/>
      <c r="U53" s="165"/>
    </row>
    <row r="54" spans="11:22" x14ac:dyDescent="0.2">
      <c r="K54" s="162">
        <v>14</v>
      </c>
      <c r="L54" s="162"/>
      <c r="M54" s="162"/>
      <c r="N54" s="165"/>
      <c r="O54" s="165"/>
      <c r="P54" s="166"/>
      <c r="Q54" s="165"/>
      <c r="R54" s="165"/>
      <c r="S54" s="165"/>
      <c r="T54" s="165"/>
      <c r="U54" s="165"/>
    </row>
    <row r="55" spans="11:22" x14ac:dyDescent="0.2">
      <c r="K55" s="162">
        <v>15</v>
      </c>
      <c r="L55" s="162"/>
      <c r="M55" s="162"/>
      <c r="N55" s="165"/>
      <c r="O55" s="165"/>
      <c r="P55" s="166"/>
      <c r="Q55" s="165"/>
      <c r="R55" s="165"/>
      <c r="S55" s="165"/>
      <c r="T55" s="165"/>
      <c r="U55" s="165"/>
    </row>
    <row r="56" spans="11:22" x14ac:dyDescent="0.2">
      <c r="K56" s="162">
        <v>16</v>
      </c>
      <c r="L56" s="162"/>
      <c r="M56" s="162"/>
      <c r="N56" s="166"/>
      <c r="O56" s="165"/>
    </row>
    <row r="57" spans="11:22" x14ac:dyDescent="0.2">
      <c r="K57" s="162">
        <v>17</v>
      </c>
      <c r="L57" s="162"/>
      <c r="M57" s="162"/>
      <c r="N57" s="166"/>
      <c r="O57" s="165"/>
    </row>
    <row r="58" spans="11:22" x14ac:dyDescent="0.2">
      <c r="K58" s="162">
        <v>18</v>
      </c>
      <c r="L58" s="162"/>
      <c r="M58" s="162"/>
      <c r="N58" s="166"/>
      <c r="O58" s="165"/>
    </row>
    <row r="59" spans="11:22" x14ac:dyDescent="0.2">
      <c r="K59" s="162">
        <v>19</v>
      </c>
      <c r="L59" s="162"/>
      <c r="M59" s="162"/>
      <c r="N59" s="166"/>
      <c r="O59" s="165"/>
      <c r="Q59" s="167" t="s">
        <v>267</v>
      </c>
      <c r="R59" s="167" t="s">
        <v>268</v>
      </c>
      <c r="S59" s="167" t="s">
        <v>269</v>
      </c>
    </row>
    <row r="60" spans="11:22" x14ac:dyDescent="0.2">
      <c r="K60" s="162">
        <v>20</v>
      </c>
      <c r="L60" s="162"/>
      <c r="M60" s="162"/>
      <c r="N60" s="166"/>
      <c r="O60" s="165"/>
      <c r="Q60" s="168" t="s">
        <v>270</v>
      </c>
      <c r="R60" s="168">
        <v>5</v>
      </c>
      <c r="S60" s="168" t="s">
        <v>271</v>
      </c>
    </row>
    <row r="61" spans="11:22" x14ac:dyDescent="0.2">
      <c r="Q61" s="169" t="s">
        <v>272</v>
      </c>
      <c r="R61" s="169" t="s">
        <v>273</v>
      </c>
      <c r="S61" s="169" t="s">
        <v>274</v>
      </c>
      <c r="U61" s="135"/>
      <c r="V61" s="135"/>
    </row>
    <row r="62" spans="11:22" x14ac:dyDescent="0.2">
      <c r="Q62" s="168" t="s">
        <v>275</v>
      </c>
      <c r="R62" s="168" t="s">
        <v>276</v>
      </c>
      <c r="S62" s="168" t="s">
        <v>277</v>
      </c>
    </row>
    <row r="63" spans="11:22" x14ac:dyDescent="0.2">
      <c r="Q63" s="169" t="s">
        <v>278</v>
      </c>
      <c r="R63" s="169" t="s">
        <v>279</v>
      </c>
      <c r="S63" s="169" t="s">
        <v>280</v>
      </c>
    </row>
    <row r="64" spans="11:22" x14ac:dyDescent="0.2">
      <c r="N64" s="136" t="s">
        <v>262</v>
      </c>
      <c r="Q64" s="168" t="s">
        <v>281</v>
      </c>
      <c r="R64" s="168" t="s">
        <v>282</v>
      </c>
      <c r="S64" s="168" t="s">
        <v>283</v>
      </c>
    </row>
    <row r="65" spans="17:19" x14ac:dyDescent="0.2">
      <c r="Q65" s="169" t="s">
        <v>284</v>
      </c>
      <c r="R65" s="169" t="s">
        <v>285</v>
      </c>
      <c r="S65" s="169" t="s">
        <v>286</v>
      </c>
    </row>
    <row r="66" spans="17:19" x14ac:dyDescent="0.2">
      <c r="Q66" s="168" t="s">
        <v>287</v>
      </c>
      <c r="R66" s="168" t="s">
        <v>288</v>
      </c>
      <c r="S66" s="168" t="s">
        <v>289</v>
      </c>
    </row>
    <row r="67" spans="17:19" x14ac:dyDescent="0.2">
      <c r="Q67" s="169" t="s">
        <v>290</v>
      </c>
      <c r="R67" s="169" t="s">
        <v>291</v>
      </c>
      <c r="S67" s="169" t="s">
        <v>292</v>
      </c>
    </row>
    <row r="68" spans="17:19" x14ac:dyDescent="0.2">
      <c r="Q68" s="168" t="s">
        <v>293</v>
      </c>
      <c r="R68" s="168" t="s">
        <v>294</v>
      </c>
      <c r="S68" s="168" t="s">
        <v>295</v>
      </c>
    </row>
    <row r="69" spans="17:19" x14ac:dyDescent="0.2">
      <c r="Q69" s="169" t="s">
        <v>296</v>
      </c>
      <c r="R69" s="169" t="s">
        <v>297</v>
      </c>
      <c r="S69" s="169" t="s">
        <v>298</v>
      </c>
    </row>
  </sheetData>
  <mergeCells count="2">
    <mergeCell ref="A1:J1"/>
    <mergeCell ref="K1:M1"/>
  </mergeCells>
  <phoneticPr fontId="20" type="noConversion"/>
  <hyperlinks>
    <hyperlink ref="J21" r:id="rId1"/>
    <hyperlink ref="J25" r:id="rId2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41</vt:i4>
      </vt:variant>
    </vt:vector>
  </HeadingPairs>
  <TitlesOfParts>
    <vt:vector size="46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AGRUPAPF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PF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Usuario</cp:lastModifiedBy>
  <cp:lastPrinted>2014-01-27T19:45:34Z</cp:lastPrinted>
  <dcterms:created xsi:type="dcterms:W3CDTF">2006-10-27T17:07:54Z</dcterms:created>
  <dcterms:modified xsi:type="dcterms:W3CDTF">2024-09-16T18:29:23Z</dcterms:modified>
</cp:coreProperties>
</file>